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ate1904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jean-michelvincent/Desktop/"/>
    </mc:Choice>
  </mc:AlternateContent>
  <xr:revisionPtr revIDLastSave="0" documentId="8_{C5E2C437-E4AD-0C41-8EDE-1DD12B0D0BA7}" xr6:coauthVersionLast="47" xr6:coauthVersionMax="47" xr10:uidLastSave="{00000000-0000-0000-0000-000000000000}"/>
  <bookViews>
    <workbookView xWindow="220" yWindow="740" windowWidth="27320" windowHeight="14040" tabRatio="50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0" i="1" l="1"/>
  <c r="G51" i="1" l="1"/>
  <c r="H51" i="1"/>
  <c r="I51" i="1"/>
  <c r="J51" i="1"/>
  <c r="K51" i="1"/>
  <c r="D51" i="1"/>
  <c r="E51" i="1"/>
  <c r="F51" i="1"/>
  <c r="C51" i="1"/>
  <c r="F229" i="1" l="1"/>
  <c r="C31" i="1" l="1"/>
  <c r="E141" i="1"/>
  <c r="D27" i="1"/>
  <c r="C27" i="1"/>
  <c r="H14" i="1" l="1"/>
  <c r="H107" i="1" s="1"/>
  <c r="C100" i="1"/>
  <c r="B365" i="1"/>
  <c r="B8" i="1" s="1"/>
  <c r="C254" i="1"/>
  <c r="B364" i="1"/>
  <c r="B5" i="1" s="1"/>
  <c r="C270" i="1"/>
  <c r="C275" i="1" s="1"/>
  <c r="C271" i="1"/>
  <c r="C276" i="1" s="1"/>
  <c r="C272" i="1"/>
  <c r="C277" i="1" s="1"/>
  <c r="B139" i="1"/>
  <c r="B101" i="1"/>
  <c r="C50" i="1"/>
  <c r="C6" i="1"/>
  <c r="C57" i="1"/>
  <c r="C58" i="1" s="1"/>
  <c r="B301" i="1"/>
  <c r="B300" i="1" s="1"/>
  <c r="E325" i="1"/>
  <c r="E333" i="1" s="1"/>
  <c r="E334" i="1" s="1"/>
  <c r="B70" i="1"/>
  <c r="B229" i="1"/>
  <c r="B232" i="1"/>
  <c r="B231" i="1"/>
  <c r="C139" i="1"/>
  <c r="C141" i="1" s="1"/>
  <c r="B287" i="1"/>
  <c r="C70" i="1" s="1"/>
  <c r="D132" i="1"/>
  <c r="D133" i="1" s="1"/>
  <c r="E132" i="1"/>
  <c r="E133" i="1" s="1"/>
  <c r="F132" i="1"/>
  <c r="F133" i="1" s="1"/>
  <c r="D254" i="1"/>
  <c r="E254" i="1"/>
  <c r="D256" i="1" s="1"/>
  <c r="E35" i="1" s="1"/>
  <c r="E36" i="1" s="1"/>
  <c r="D6" i="1"/>
  <c r="E6" i="1"/>
  <c r="F254" i="1"/>
  <c r="F256" i="1" s="1"/>
  <c r="G256" i="1" s="1"/>
  <c r="F6" i="1"/>
  <c r="D275" i="1"/>
  <c r="D276" i="1"/>
  <c r="D277" i="1"/>
  <c r="E275" i="1"/>
  <c r="E276" i="1"/>
  <c r="E277" i="1"/>
  <c r="F275" i="1"/>
  <c r="F276" i="1"/>
  <c r="F277" i="1"/>
  <c r="D141" i="1"/>
  <c r="D205" i="1" s="1"/>
  <c r="F141" i="1"/>
  <c r="D50" i="1"/>
  <c r="E50" i="1"/>
  <c r="E52" i="1"/>
  <c r="F50" i="1"/>
  <c r="D58" i="1"/>
  <c r="D60" i="1" s="1"/>
  <c r="B303" i="1"/>
  <c r="E329" i="1"/>
  <c r="E330" i="1" s="1"/>
  <c r="E58" i="1"/>
  <c r="B304" i="1"/>
  <c r="F329" i="1"/>
  <c r="F330" i="1" s="1"/>
  <c r="F58" i="1"/>
  <c r="B305" i="1"/>
  <c r="G329" i="1"/>
  <c r="G330" i="1" s="1"/>
  <c r="F70" i="1"/>
  <c r="I70" i="1"/>
  <c r="J70" i="1"/>
  <c r="K70" i="1"/>
  <c r="G70" i="1"/>
  <c r="H70" i="1"/>
  <c r="E70" i="1"/>
  <c r="D70" i="1"/>
  <c r="B30" i="1"/>
  <c r="C43" i="1"/>
  <c r="B43" i="1" s="1"/>
  <c r="B10" i="1"/>
  <c r="L287" i="1"/>
  <c r="K287" i="1"/>
  <c r="F291" i="1"/>
  <c r="H287" i="1"/>
  <c r="I287" i="1"/>
  <c r="J287" i="1"/>
  <c r="D287" i="1"/>
  <c r="E287" i="1"/>
  <c r="F287" i="1"/>
  <c r="G287" i="1"/>
  <c r="C287" i="1"/>
  <c r="I291" i="1"/>
  <c r="E286" i="1"/>
  <c r="E292" i="1" s="1"/>
  <c r="D286" i="1"/>
  <c r="D292" i="1" s="1"/>
  <c r="B286" i="1"/>
  <c r="H291" i="1"/>
  <c r="H295" i="1"/>
  <c r="I295" i="1" s="1"/>
  <c r="G295" i="1"/>
  <c r="I286" i="1"/>
  <c r="I292" i="1" s="1"/>
  <c r="H286" i="1"/>
  <c r="H292" i="1" s="1"/>
  <c r="D14" i="1"/>
  <c r="D18" i="1" s="1"/>
  <c r="G132" i="1"/>
  <c r="G133" i="1" s="1"/>
  <c r="H132" i="1"/>
  <c r="H133" i="1" s="1"/>
  <c r="I30" i="1"/>
  <c r="I132" i="1" s="1"/>
  <c r="G6" i="1"/>
  <c r="H6" i="1"/>
  <c r="I6" i="1"/>
  <c r="G275" i="1"/>
  <c r="G276" i="1"/>
  <c r="G277" i="1"/>
  <c r="H275" i="1"/>
  <c r="H276" i="1"/>
  <c r="H277" i="1"/>
  <c r="I275" i="1"/>
  <c r="I276" i="1"/>
  <c r="I277" i="1"/>
  <c r="G141" i="1"/>
  <c r="G205" i="1" s="1"/>
  <c r="H141" i="1"/>
  <c r="I141" i="1"/>
  <c r="G50" i="1"/>
  <c r="H50" i="1"/>
  <c r="I49" i="1"/>
  <c r="I50" i="1"/>
  <c r="G58" i="1"/>
  <c r="G60" i="1" s="1"/>
  <c r="B306" i="1"/>
  <c r="G147" i="1" s="1"/>
  <c r="H329" i="1"/>
  <c r="H330" i="1" s="1"/>
  <c r="H58" i="1"/>
  <c r="B307" i="1"/>
  <c r="I329" i="1"/>
  <c r="I330" i="1" s="1"/>
  <c r="I58" i="1"/>
  <c r="B309" i="1"/>
  <c r="F325" i="1"/>
  <c r="F333" i="1" s="1"/>
  <c r="I171" i="1"/>
  <c r="I102" i="1"/>
  <c r="J30" i="1"/>
  <c r="J132" i="1" s="1"/>
  <c r="J6" i="1"/>
  <c r="J275" i="1"/>
  <c r="J276" i="1"/>
  <c r="J277" i="1"/>
  <c r="J139" i="1"/>
  <c r="K139" i="1" s="1"/>
  <c r="J101" i="1"/>
  <c r="J49" i="1"/>
  <c r="J50" i="1"/>
  <c r="J57" i="1"/>
  <c r="J58" i="1" s="1"/>
  <c r="B310" i="1"/>
  <c r="J147" i="1" s="1"/>
  <c r="G325" i="1"/>
  <c r="G333" i="1" s="1"/>
  <c r="J171" i="1"/>
  <c r="J102" i="1"/>
  <c r="K100" i="1"/>
  <c r="K96" i="1"/>
  <c r="K98" i="1" s="1"/>
  <c r="K5" i="1"/>
  <c r="H325" i="1" s="1"/>
  <c r="H333" i="1" s="1"/>
  <c r="K4" i="1"/>
  <c r="K57" i="1"/>
  <c r="K58" i="1" s="1"/>
  <c r="B311" i="1"/>
  <c r="K171" i="1"/>
  <c r="C171" i="1"/>
  <c r="C102" i="1"/>
  <c r="D171" i="1"/>
  <c r="D102" i="1"/>
  <c r="E171" i="1"/>
  <c r="E102" i="1"/>
  <c r="F171" i="1"/>
  <c r="F102" i="1"/>
  <c r="G171" i="1"/>
  <c r="G102" i="1"/>
  <c r="H171" i="1"/>
  <c r="H102" i="1"/>
  <c r="B171" i="1"/>
  <c r="B102" i="1"/>
  <c r="C231" i="1"/>
  <c r="C229" i="1"/>
  <c r="C232" i="1"/>
  <c r="C205" i="1"/>
  <c r="D231" i="1"/>
  <c r="D229" i="1"/>
  <c r="D232" i="1"/>
  <c r="E231" i="1"/>
  <c r="E229" i="1"/>
  <c r="E232" i="1"/>
  <c r="E195" i="1"/>
  <c r="E196" i="1" s="1"/>
  <c r="E205" i="1"/>
  <c r="F231" i="1"/>
  <c r="F232" i="1"/>
  <c r="F234" i="1" s="1"/>
  <c r="F205" i="1"/>
  <c r="G231" i="1"/>
  <c r="G229" i="1"/>
  <c r="G232" i="1"/>
  <c r="G195" i="1"/>
  <c r="G196" i="1" s="1"/>
  <c r="H231" i="1"/>
  <c r="H229" i="1"/>
  <c r="H232" i="1"/>
  <c r="H205" i="1"/>
  <c r="I231" i="1"/>
  <c r="I229" i="1"/>
  <c r="I232" i="1"/>
  <c r="I205" i="1"/>
  <c r="J231" i="1"/>
  <c r="J229" i="1"/>
  <c r="J232" i="1"/>
  <c r="B186" i="1"/>
  <c r="D130" i="1"/>
  <c r="E27" i="1"/>
  <c r="I130" i="1"/>
  <c r="J130" i="1"/>
  <c r="F130" i="1"/>
  <c r="G130" i="1"/>
  <c r="H130" i="1"/>
  <c r="E130" i="1"/>
  <c r="C130" i="1"/>
  <c r="E45" i="1"/>
  <c r="K27" i="1"/>
  <c r="J27" i="1"/>
  <c r="I27" i="1"/>
  <c r="H27" i="1"/>
  <c r="G27" i="1"/>
  <c r="F27" i="1"/>
  <c r="E324" i="1"/>
  <c r="E323" i="1"/>
  <c r="E322" i="1"/>
  <c r="E338" i="1"/>
  <c r="B383" i="1"/>
  <c r="C165" i="1"/>
  <c r="K165" i="1"/>
  <c r="J165" i="1"/>
  <c r="I165" i="1"/>
  <c r="H165" i="1"/>
  <c r="G165" i="1"/>
  <c r="D165" i="1"/>
  <c r="F165" i="1"/>
  <c r="E165" i="1"/>
  <c r="B165" i="1"/>
  <c r="M165" i="1"/>
  <c r="H45" i="1"/>
  <c r="D31" i="1"/>
  <c r="E31" i="1" s="1"/>
  <c r="F31" i="1" s="1"/>
  <c r="G31" i="1" s="1"/>
  <c r="H31" i="1" s="1"/>
  <c r="I31" i="1" s="1"/>
  <c r="J31" i="1" s="1"/>
  <c r="B97" i="1"/>
  <c r="B99" i="1"/>
  <c r="B83" i="1"/>
  <c r="B302" i="1"/>
  <c r="D45" i="1"/>
  <c r="B9" i="1"/>
  <c r="E83" i="1"/>
  <c r="D83" i="1"/>
  <c r="C83" i="1"/>
  <c r="K83" i="1"/>
  <c r="K43" i="1"/>
  <c r="K45" i="1" s="1"/>
  <c r="G83" i="1"/>
  <c r="G45" i="1"/>
  <c r="H83" i="1"/>
  <c r="I83" i="1"/>
  <c r="I45" i="1"/>
  <c r="J83" i="1"/>
  <c r="J43" i="1"/>
  <c r="J10" i="1"/>
  <c r="F83" i="1"/>
  <c r="F45" i="1"/>
  <c r="F383" i="1"/>
  <c r="C383" i="1"/>
  <c r="D383" i="1"/>
  <c r="E383" i="1"/>
  <c r="K383" i="1"/>
  <c r="K97" i="1"/>
  <c r="G383" i="1"/>
  <c r="H383" i="1"/>
  <c r="I383" i="1"/>
  <c r="J383" i="1"/>
  <c r="D118" i="1"/>
  <c r="D120" i="1" s="1"/>
  <c r="E118" i="1"/>
  <c r="H123" i="1"/>
  <c r="H127" i="1" s="1"/>
  <c r="E119" i="1" s="1"/>
  <c r="F118" i="1"/>
  <c r="F120" i="1" s="1"/>
  <c r="F121" i="1" s="1"/>
  <c r="B254" i="1"/>
  <c r="C48" i="1"/>
  <c r="Q6" i="1"/>
  <c r="P6" i="1"/>
  <c r="I251" i="1"/>
  <c r="B251" i="1"/>
  <c r="J267" i="1"/>
  <c r="I267" i="1"/>
  <c r="H267" i="1"/>
  <c r="G267" i="1"/>
  <c r="F267" i="1"/>
  <c r="E267" i="1"/>
  <c r="D267" i="1"/>
  <c r="C267" i="1"/>
  <c r="B259" i="1"/>
  <c r="C292" i="1"/>
  <c r="D295" i="1"/>
  <c r="E295" i="1"/>
  <c r="F295" i="1"/>
  <c r="C295" i="1"/>
  <c r="J291" i="1"/>
  <c r="D291" i="1"/>
  <c r="E291" i="1"/>
  <c r="G291" i="1"/>
  <c r="C291" i="1"/>
  <c r="K286" i="1"/>
  <c r="K292" i="1" s="1"/>
  <c r="F286" i="1"/>
  <c r="F292" i="1" s="1"/>
  <c r="G286" i="1"/>
  <c r="G292" i="1" s="1"/>
  <c r="J286" i="1"/>
  <c r="J292" i="1" s="1"/>
  <c r="K291" i="1"/>
  <c r="L291" i="1"/>
  <c r="L286" i="1"/>
  <c r="L292" i="1" s="1"/>
  <c r="J145" i="1"/>
  <c r="F324" i="1"/>
  <c r="G324" i="1"/>
  <c r="H324" i="1"/>
  <c r="F323" i="1"/>
  <c r="G323" i="1"/>
  <c r="H323" i="1"/>
  <c r="F322" i="1"/>
  <c r="G322" i="1"/>
  <c r="H322" i="1"/>
  <c r="D116" i="1"/>
  <c r="E116" i="1"/>
  <c r="F116" i="1"/>
  <c r="K34" i="1"/>
  <c r="K48" i="1"/>
  <c r="F23" i="1"/>
  <c r="F25" i="1" s="1"/>
  <c r="F26" i="1" s="1"/>
  <c r="E23" i="1"/>
  <c r="E25" i="1" s="1"/>
  <c r="E26" i="1" s="1"/>
  <c r="D23" i="1"/>
  <c r="H60" i="1"/>
  <c r="G234" i="1" l="1"/>
  <c r="B31" i="1"/>
  <c r="B32" i="1" s="1"/>
  <c r="F60" i="1"/>
  <c r="F146" i="1"/>
  <c r="F195" i="1"/>
  <c r="F196" i="1" s="1"/>
  <c r="D195" i="1"/>
  <c r="D196" i="1" s="1"/>
  <c r="H195" i="1"/>
  <c r="H196" i="1" s="1"/>
  <c r="H147" i="1"/>
  <c r="H148" i="1" s="1"/>
  <c r="H211" i="1" s="1"/>
  <c r="I146" i="1"/>
  <c r="H146" i="1"/>
  <c r="E146" i="1"/>
  <c r="E60" i="1"/>
  <c r="F147" i="1"/>
  <c r="G334" i="1"/>
  <c r="J60" i="1"/>
  <c r="F52" i="1"/>
  <c r="F53" i="1" s="1"/>
  <c r="F143" i="1" s="1"/>
  <c r="F208" i="1" s="1"/>
  <c r="F278" i="1"/>
  <c r="F39" i="1" s="1"/>
  <c r="F40" i="1" s="1"/>
  <c r="F137" i="1" s="1"/>
  <c r="F202" i="1" s="1"/>
  <c r="H118" i="1"/>
  <c r="K50" i="1"/>
  <c r="C147" i="1"/>
  <c r="C256" i="1"/>
  <c r="D35" i="1" s="1"/>
  <c r="D36" i="1" s="1"/>
  <c r="D135" i="1" s="1"/>
  <c r="D199" i="1" s="1"/>
  <c r="B58" i="1"/>
  <c r="B60" i="1" s="1"/>
  <c r="B61" i="1" s="1"/>
  <c r="B141" i="1"/>
  <c r="B142" i="1" s="1"/>
  <c r="C142" i="1" s="1"/>
  <c r="D142" i="1" s="1"/>
  <c r="E142" i="1" s="1"/>
  <c r="F142" i="1" s="1"/>
  <c r="G142" i="1" s="1"/>
  <c r="H142" i="1" s="1"/>
  <c r="I142" i="1" s="1"/>
  <c r="I133" i="1"/>
  <c r="I195" i="1"/>
  <c r="I196" i="1" s="1"/>
  <c r="J133" i="1"/>
  <c r="J195" i="1"/>
  <c r="J196" i="1" s="1"/>
  <c r="E120" i="1"/>
  <c r="E121" i="1" s="1"/>
  <c r="K6" i="1"/>
  <c r="K52" i="1" s="1"/>
  <c r="K30" i="1"/>
  <c r="K31" i="1" s="1"/>
  <c r="B45" i="1"/>
  <c r="B46" i="1" s="1"/>
  <c r="H23" i="1"/>
  <c r="K49" i="1"/>
  <c r="J278" i="1"/>
  <c r="J39" i="1" s="1"/>
  <c r="H52" i="1"/>
  <c r="H53" i="1" s="1"/>
  <c r="H143" i="1" s="1"/>
  <c r="H208" i="1" s="1"/>
  <c r="J234" i="1"/>
  <c r="I52" i="1"/>
  <c r="I53" i="1" s="1"/>
  <c r="I143" i="1" s="1"/>
  <c r="I208" i="1" s="1"/>
  <c r="D52" i="1"/>
  <c r="D53" i="1" s="1"/>
  <c r="D143" i="1" s="1"/>
  <c r="D208" i="1" s="1"/>
  <c r="K102" i="1"/>
  <c r="I147" i="1"/>
  <c r="C45" i="1"/>
  <c r="J52" i="1"/>
  <c r="G52" i="1"/>
  <c r="G53" i="1" s="1"/>
  <c r="G143" i="1" s="1"/>
  <c r="G208" i="1" s="1"/>
  <c r="D25" i="1"/>
  <c r="D26" i="1" s="1"/>
  <c r="H26" i="1" s="1"/>
  <c r="K231" i="1"/>
  <c r="K130" i="1"/>
  <c r="K229" i="1"/>
  <c r="K145" i="1"/>
  <c r="K232" i="1"/>
  <c r="B18" i="1"/>
  <c r="D65" i="1"/>
  <c r="D66" i="1" s="1"/>
  <c r="F18" i="1"/>
  <c r="F65" i="1" s="1"/>
  <c r="F66" i="1" s="1"/>
  <c r="I18" i="1"/>
  <c r="I65" i="1" s="1"/>
  <c r="I66" i="1" s="1"/>
  <c r="C18" i="1"/>
  <c r="C65" i="1" s="1"/>
  <c r="C66" i="1" s="1"/>
  <c r="E18" i="1"/>
  <c r="E65" i="1" s="1"/>
  <c r="E66" i="1" s="1"/>
  <c r="H18" i="1"/>
  <c r="H65" i="1" s="1"/>
  <c r="H66" i="1" s="1"/>
  <c r="K18" i="1"/>
  <c r="J18" i="1"/>
  <c r="J65" i="1" s="1"/>
  <c r="J66" i="1" s="1"/>
  <c r="G18" i="1"/>
  <c r="G65" i="1" s="1"/>
  <c r="G66" i="1" s="1"/>
  <c r="H334" i="1"/>
  <c r="J251" i="1" s="1"/>
  <c r="K60" i="1"/>
  <c r="H108" i="1"/>
  <c r="G113" i="1" s="1"/>
  <c r="D107" i="1"/>
  <c r="D108" i="1" s="1"/>
  <c r="E53" i="1"/>
  <c r="E143" i="1" s="1"/>
  <c r="E208" i="1" s="1"/>
  <c r="J146" i="1"/>
  <c r="G146" i="1"/>
  <c r="I278" i="1"/>
  <c r="I39" i="1" s="1"/>
  <c r="I40" i="1" s="1"/>
  <c r="I137" i="1" s="1"/>
  <c r="I202" i="1" s="1"/>
  <c r="H278" i="1"/>
  <c r="H39" i="1" s="1"/>
  <c r="H40" i="1" s="1"/>
  <c r="H137" i="1" s="1"/>
  <c r="H202" i="1" s="1"/>
  <c r="D147" i="1"/>
  <c r="C52" i="1"/>
  <c r="C53" i="1" s="1"/>
  <c r="B53" i="1" s="1"/>
  <c r="B100" i="1"/>
  <c r="B130" i="1" s="1"/>
  <c r="I234" i="1"/>
  <c r="E234" i="1"/>
  <c r="D234" i="1"/>
  <c r="C234" i="1"/>
  <c r="E147" i="1"/>
  <c r="E148" i="1" s="1"/>
  <c r="E211" i="1" s="1"/>
  <c r="D146" i="1"/>
  <c r="D148" i="1" s="1"/>
  <c r="D211" i="1" s="1"/>
  <c r="D278" i="1"/>
  <c r="D39" i="1" s="1"/>
  <c r="D40" i="1" s="1"/>
  <c r="D137" i="1" s="1"/>
  <c r="D202" i="1" s="1"/>
  <c r="E135" i="1"/>
  <c r="E199" i="1" s="1"/>
  <c r="H234" i="1"/>
  <c r="E278" i="1"/>
  <c r="E39" i="1" s="1"/>
  <c r="E40" i="1" s="1"/>
  <c r="C278" i="1"/>
  <c r="C39" i="1" s="1"/>
  <c r="C40" i="1" s="1"/>
  <c r="C137" i="1" s="1"/>
  <c r="C202" i="1" s="1"/>
  <c r="H25" i="1"/>
  <c r="D121" i="1"/>
  <c r="H121" i="1" s="1"/>
  <c r="H120" i="1"/>
  <c r="O44" i="1"/>
  <c r="J45" i="1"/>
  <c r="K44" i="1"/>
  <c r="F334" i="1"/>
  <c r="I60" i="1"/>
  <c r="J40" i="1"/>
  <c r="J137" i="1" s="1"/>
  <c r="J202" i="1" s="1"/>
  <c r="K39" i="1"/>
  <c r="K40" i="1" s="1"/>
  <c r="K137" i="1" s="1"/>
  <c r="K202" i="1" s="1"/>
  <c r="C32" i="1"/>
  <c r="J148" i="1"/>
  <c r="J211" i="1" s="1"/>
  <c r="J141" i="1"/>
  <c r="J205" i="1" s="1"/>
  <c r="K101" i="1"/>
  <c r="K141" i="1" s="1"/>
  <c r="K205" i="1" s="1"/>
  <c r="J53" i="1"/>
  <c r="J143" i="1" s="1"/>
  <c r="J208" i="1" s="1"/>
  <c r="F148" i="1"/>
  <c r="F211" i="1" s="1"/>
  <c r="C146" i="1"/>
  <c r="C148" i="1" s="1"/>
  <c r="C211" i="1" s="1"/>
  <c r="C60" i="1"/>
  <c r="G148" i="1"/>
  <c r="G211" i="1" s="1"/>
  <c r="G278" i="1"/>
  <c r="G39" i="1" s="1"/>
  <c r="G40" i="1" s="1"/>
  <c r="G137" i="1" s="1"/>
  <c r="G202" i="1" s="1"/>
  <c r="B65" i="1"/>
  <c r="B66" i="1" s="1"/>
  <c r="B67" i="1" s="1"/>
  <c r="H35" i="1"/>
  <c r="H36" i="1" s="1"/>
  <c r="H135" i="1" s="1"/>
  <c r="H199" i="1" s="1"/>
  <c r="H256" i="1"/>
  <c r="E256" i="1"/>
  <c r="F35" i="1" s="1"/>
  <c r="F36" i="1" s="1"/>
  <c r="F135" i="1" s="1"/>
  <c r="F199" i="1" s="1"/>
  <c r="G35" i="1"/>
  <c r="G36" i="1" s="1"/>
  <c r="G135" i="1" s="1"/>
  <c r="G199" i="1" s="1"/>
  <c r="B234" i="1"/>
  <c r="B256" i="1"/>
  <c r="C35" i="1" s="1"/>
  <c r="B6" i="1"/>
  <c r="B147" i="1" s="1"/>
  <c r="B34" i="1"/>
  <c r="C132" i="1"/>
  <c r="C67" i="1" l="1"/>
  <c r="D67" i="1" s="1"/>
  <c r="E67" i="1" s="1"/>
  <c r="F67" i="1" s="1"/>
  <c r="G67" i="1" s="1"/>
  <c r="H67" i="1" s="1"/>
  <c r="I67" i="1" s="1"/>
  <c r="J67" i="1" s="1"/>
  <c r="I148" i="1"/>
  <c r="I211" i="1" s="1"/>
  <c r="K146" i="1"/>
  <c r="K65" i="1"/>
  <c r="K66" i="1" s="1"/>
  <c r="J142" i="1"/>
  <c r="K142" i="1" s="1"/>
  <c r="K234" i="1"/>
  <c r="C46" i="1"/>
  <c r="D46" i="1" s="1"/>
  <c r="E46" i="1" s="1"/>
  <c r="F46" i="1" s="1"/>
  <c r="G46" i="1" s="1"/>
  <c r="H46" i="1" s="1"/>
  <c r="I46" i="1" s="1"/>
  <c r="J46" i="1" s="1"/>
  <c r="K46" i="1" s="1"/>
  <c r="B40" i="1"/>
  <c r="B39" i="1" s="1"/>
  <c r="B205" i="1"/>
  <c r="B206" i="1" s="1"/>
  <c r="C206" i="1" s="1"/>
  <c r="D206" i="1" s="1"/>
  <c r="E206" i="1" s="1"/>
  <c r="F206" i="1" s="1"/>
  <c r="G206" i="1" s="1"/>
  <c r="H206" i="1" s="1"/>
  <c r="I206" i="1" s="1"/>
  <c r="J206" i="1" s="1"/>
  <c r="K206" i="1" s="1"/>
  <c r="H113" i="1"/>
  <c r="K147" i="1"/>
  <c r="K148" i="1" s="1"/>
  <c r="K211" i="1" s="1"/>
  <c r="C143" i="1"/>
  <c r="C208" i="1" s="1"/>
  <c r="D209" i="1" s="1"/>
  <c r="E209" i="1" s="1"/>
  <c r="F209" i="1" s="1"/>
  <c r="G209" i="1" s="1"/>
  <c r="H209" i="1" s="1"/>
  <c r="I209" i="1" s="1"/>
  <c r="J209" i="1" s="1"/>
  <c r="K53" i="1"/>
  <c r="K143" i="1" s="1"/>
  <c r="K208" i="1" s="1"/>
  <c r="K132" i="1"/>
  <c r="G153" i="1"/>
  <c r="G154" i="1" s="1"/>
  <c r="G217" i="1" s="1"/>
  <c r="G192" i="1"/>
  <c r="C28" i="1"/>
  <c r="D28" i="1" s="1"/>
  <c r="E28" i="1" s="1"/>
  <c r="F28" i="1" s="1"/>
  <c r="B28" i="1"/>
  <c r="E137" i="1"/>
  <c r="E202" i="1" s="1"/>
  <c r="C36" i="1"/>
  <c r="C135" i="1" s="1"/>
  <c r="C199" i="1" s="1"/>
  <c r="B35" i="1"/>
  <c r="B36" i="1" s="1"/>
  <c r="B137" i="1"/>
  <c r="B54" i="1"/>
  <c r="B143" i="1"/>
  <c r="C133" i="1"/>
  <c r="C195" i="1"/>
  <c r="C196" i="1" s="1"/>
  <c r="B132" i="1"/>
  <c r="I35" i="1"/>
  <c r="I36" i="1" s="1"/>
  <c r="I135" i="1" s="1"/>
  <c r="I199" i="1" s="1"/>
  <c r="I256" i="1"/>
  <c r="C61" i="1"/>
  <c r="D32" i="1"/>
  <c r="C113" i="1"/>
  <c r="D113" i="1"/>
  <c r="F113" i="1"/>
  <c r="E113" i="1"/>
  <c r="E153" i="1" s="1"/>
  <c r="H153" i="1"/>
  <c r="H154" i="1" s="1"/>
  <c r="H217" i="1" s="1"/>
  <c r="I113" i="1"/>
  <c r="J113" i="1"/>
  <c r="K113" i="1"/>
  <c r="H192" i="1"/>
  <c r="B146" i="1"/>
  <c r="B148" i="1" s="1"/>
  <c r="K67" i="1" l="1"/>
  <c r="B41" i="1"/>
  <c r="C41" i="1" s="1"/>
  <c r="D41" i="1" s="1"/>
  <c r="E41" i="1" s="1"/>
  <c r="F41" i="1" s="1"/>
  <c r="G41" i="1" s="1"/>
  <c r="H41" i="1" s="1"/>
  <c r="I41" i="1" s="1"/>
  <c r="J41" i="1" s="1"/>
  <c r="K41" i="1" s="1"/>
  <c r="K209" i="1"/>
  <c r="K195" i="1"/>
  <c r="K196" i="1" s="1"/>
  <c r="K133" i="1"/>
  <c r="B144" i="1"/>
  <c r="C144" i="1" s="1"/>
  <c r="D144" i="1" s="1"/>
  <c r="E144" i="1" s="1"/>
  <c r="F144" i="1" s="1"/>
  <c r="G144" i="1" s="1"/>
  <c r="H144" i="1" s="1"/>
  <c r="I144" i="1" s="1"/>
  <c r="J144" i="1" s="1"/>
  <c r="K144" i="1" s="1"/>
  <c r="B208" i="1"/>
  <c r="B209" i="1" s="1"/>
  <c r="C209" i="1" s="1"/>
  <c r="I153" i="1"/>
  <c r="I154" i="1" s="1"/>
  <c r="I217" i="1" s="1"/>
  <c r="I192" i="1"/>
  <c r="B131" i="1"/>
  <c r="B113" i="1"/>
  <c r="C153" i="1"/>
  <c r="C154" i="1" s="1"/>
  <c r="C217" i="1" s="1"/>
  <c r="C192" i="1"/>
  <c r="B133" i="1"/>
  <c r="B134" i="1" s="1"/>
  <c r="B195" i="1"/>
  <c r="B196" i="1" s="1"/>
  <c r="B197" i="1" s="1"/>
  <c r="C54" i="1"/>
  <c r="D54" i="1"/>
  <c r="E54" i="1" s="1"/>
  <c r="F54" i="1" s="1"/>
  <c r="G54" i="1" s="1"/>
  <c r="H54" i="1" s="1"/>
  <c r="I54" i="1" s="1"/>
  <c r="J54" i="1" s="1"/>
  <c r="K54" i="1" s="1"/>
  <c r="K153" i="1"/>
  <c r="K154" i="1" s="1"/>
  <c r="K217" i="1" s="1"/>
  <c r="K192" i="1"/>
  <c r="E192" i="1"/>
  <c r="E154" i="1"/>
  <c r="E217" i="1" s="1"/>
  <c r="D61" i="1"/>
  <c r="E61" i="1" s="1"/>
  <c r="F61" i="1" s="1"/>
  <c r="G61" i="1" s="1"/>
  <c r="H61" i="1" s="1"/>
  <c r="I61" i="1" s="1"/>
  <c r="J61" i="1" s="1"/>
  <c r="K61" i="1" s="1"/>
  <c r="I338" i="1" s="1"/>
  <c r="B135" i="1"/>
  <c r="B37" i="1"/>
  <c r="D153" i="1"/>
  <c r="D154" i="1" s="1"/>
  <c r="D217" i="1" s="1"/>
  <c r="D192" i="1"/>
  <c r="E32" i="1"/>
  <c r="B149" i="1"/>
  <c r="C149" i="1" s="1"/>
  <c r="D149" i="1" s="1"/>
  <c r="E149" i="1" s="1"/>
  <c r="F149" i="1" s="1"/>
  <c r="G149" i="1" s="1"/>
  <c r="H149" i="1" s="1"/>
  <c r="I149" i="1" s="1"/>
  <c r="J149" i="1" s="1"/>
  <c r="K149" i="1" s="1"/>
  <c r="B211" i="1"/>
  <c r="B212" i="1" s="1"/>
  <c r="C212" i="1" s="1"/>
  <c r="D212" i="1" s="1"/>
  <c r="E212" i="1" s="1"/>
  <c r="F212" i="1" s="1"/>
  <c r="G212" i="1" s="1"/>
  <c r="H212" i="1" s="1"/>
  <c r="I212" i="1" s="1"/>
  <c r="J212" i="1" s="1"/>
  <c r="K212" i="1" s="1"/>
  <c r="J153" i="1"/>
  <c r="J154" i="1" s="1"/>
  <c r="J217" i="1" s="1"/>
  <c r="J192" i="1"/>
  <c r="F153" i="1"/>
  <c r="F154" i="1" s="1"/>
  <c r="F217" i="1" s="1"/>
  <c r="F192" i="1"/>
  <c r="G28" i="1"/>
  <c r="J35" i="1"/>
  <c r="J36" i="1" s="1"/>
  <c r="J135" i="1" s="1"/>
  <c r="J199" i="1" s="1"/>
  <c r="J256" i="1"/>
  <c r="K35" i="1" s="1"/>
  <c r="K36" i="1" s="1"/>
  <c r="K135" i="1" s="1"/>
  <c r="K199" i="1" s="1"/>
  <c r="B138" i="1"/>
  <c r="C138" i="1" s="1"/>
  <c r="D138" i="1" s="1"/>
  <c r="E138" i="1" s="1"/>
  <c r="F138" i="1" s="1"/>
  <c r="G138" i="1" s="1"/>
  <c r="H138" i="1" s="1"/>
  <c r="I138" i="1" s="1"/>
  <c r="J138" i="1" s="1"/>
  <c r="K138" i="1" s="1"/>
  <c r="B202" i="1"/>
  <c r="B203" i="1" s="1"/>
  <c r="C203" i="1" s="1"/>
  <c r="D203" i="1" s="1"/>
  <c r="E203" i="1" s="1"/>
  <c r="F203" i="1" s="1"/>
  <c r="G203" i="1" s="1"/>
  <c r="H203" i="1" s="1"/>
  <c r="I203" i="1" s="1"/>
  <c r="J203" i="1" s="1"/>
  <c r="K203" i="1" s="1"/>
  <c r="F32" i="1" l="1"/>
  <c r="C37" i="1"/>
  <c r="B63" i="1"/>
  <c r="H28" i="1"/>
  <c r="B199" i="1"/>
  <c r="B200" i="1" s="1"/>
  <c r="C200" i="1" s="1"/>
  <c r="B136" i="1"/>
  <c r="C136" i="1" s="1"/>
  <c r="D136" i="1" s="1"/>
  <c r="E136" i="1" s="1"/>
  <c r="F136" i="1" s="1"/>
  <c r="G136" i="1" s="1"/>
  <c r="H136" i="1" s="1"/>
  <c r="I136" i="1" s="1"/>
  <c r="J136" i="1" s="1"/>
  <c r="K136" i="1" s="1"/>
  <c r="F338" i="1"/>
  <c r="G338" i="1" s="1"/>
  <c r="H338" i="1" s="1"/>
  <c r="C197" i="1"/>
  <c r="B192" i="1"/>
  <c r="B193" i="1" s="1"/>
  <c r="B153" i="1"/>
  <c r="B154" i="1" s="1"/>
  <c r="C134" i="1"/>
  <c r="C131" i="1"/>
  <c r="D200" i="1" l="1"/>
  <c r="E200" i="1" s="1"/>
  <c r="F200" i="1" s="1"/>
  <c r="G200" i="1" s="1"/>
  <c r="H200" i="1" s="1"/>
  <c r="I200" i="1" s="1"/>
  <c r="J200" i="1" s="1"/>
  <c r="K200" i="1" s="1"/>
  <c r="B151" i="1"/>
  <c r="B71" i="1"/>
  <c r="B74" i="1" s="1"/>
  <c r="B87" i="1" s="1"/>
  <c r="C151" i="1"/>
  <c r="C158" i="1" s="1"/>
  <c r="D134" i="1"/>
  <c r="D37" i="1"/>
  <c r="C63" i="1"/>
  <c r="B215" i="1"/>
  <c r="B221" i="1" s="1"/>
  <c r="C193" i="1"/>
  <c r="C215" i="1"/>
  <c r="C221" i="1" s="1"/>
  <c r="D197" i="1"/>
  <c r="D131" i="1"/>
  <c r="B155" i="1"/>
  <c r="C155" i="1" s="1"/>
  <c r="D155" i="1" s="1"/>
  <c r="E155" i="1" s="1"/>
  <c r="F155" i="1" s="1"/>
  <c r="G155" i="1" s="1"/>
  <c r="H155" i="1" s="1"/>
  <c r="I155" i="1" s="1"/>
  <c r="J155" i="1" s="1"/>
  <c r="K155" i="1" s="1"/>
  <c r="B217" i="1"/>
  <c r="B218" i="1" s="1"/>
  <c r="C218" i="1" s="1"/>
  <c r="D218" i="1" s="1"/>
  <c r="E218" i="1" s="1"/>
  <c r="F218" i="1" s="1"/>
  <c r="G218" i="1" s="1"/>
  <c r="H218" i="1" s="1"/>
  <c r="I218" i="1" s="1"/>
  <c r="J218" i="1" s="1"/>
  <c r="K218" i="1" s="1"/>
  <c r="I28" i="1"/>
  <c r="G32" i="1"/>
  <c r="C161" i="1" l="1"/>
  <c r="C175" i="1" s="1"/>
  <c r="B88" i="1"/>
  <c r="B91" i="1" s="1"/>
  <c r="B90" i="1"/>
  <c r="B158" i="1"/>
  <c r="B161" i="1" s="1"/>
  <c r="E134" i="1"/>
  <c r="D151" i="1"/>
  <c r="D158" i="1" s="1"/>
  <c r="D161" i="1" s="1"/>
  <c r="H32" i="1"/>
  <c r="J28" i="1"/>
  <c r="E131" i="1"/>
  <c r="C224" i="1"/>
  <c r="C239" i="1" s="1"/>
  <c r="D193" i="1"/>
  <c r="C71" i="1"/>
  <c r="C74" i="1" s="1"/>
  <c r="D215" i="1"/>
  <c r="D221" i="1" s="1"/>
  <c r="E197" i="1"/>
  <c r="B224" i="1"/>
  <c r="B239" i="1" s="1"/>
  <c r="E37" i="1"/>
  <c r="D63" i="1"/>
  <c r="C176" i="1" l="1"/>
  <c r="C178" i="1" s="1"/>
  <c r="D71" i="1"/>
  <c r="D74" i="1" s="1"/>
  <c r="C88" i="1"/>
  <c r="C91" i="1" s="1"/>
  <c r="C87" i="1"/>
  <c r="C90" i="1" s="1"/>
  <c r="F37" i="1"/>
  <c r="E63" i="1"/>
  <c r="I32" i="1"/>
  <c r="C180" i="1"/>
  <c r="C179" i="1"/>
  <c r="D176" i="1"/>
  <c r="D175" i="1"/>
  <c r="B175" i="1"/>
  <c r="B176" i="1"/>
  <c r="F131" i="1"/>
  <c r="B238" i="1"/>
  <c r="B241" i="1" s="1"/>
  <c r="B242" i="1"/>
  <c r="E215" i="1"/>
  <c r="E221" i="1" s="1"/>
  <c r="F197" i="1"/>
  <c r="D224" i="1"/>
  <c r="D239" i="1" s="1"/>
  <c r="E193" i="1"/>
  <c r="K28" i="1"/>
  <c r="C242" i="1"/>
  <c r="C238" i="1"/>
  <c r="C241" i="1" s="1"/>
  <c r="F134" i="1"/>
  <c r="E151" i="1"/>
  <c r="E158" i="1" s="1"/>
  <c r="D87" i="1" l="1"/>
  <c r="D90" i="1" s="1"/>
  <c r="D88" i="1"/>
  <c r="D91" i="1" s="1"/>
  <c r="G131" i="1"/>
  <c r="B180" i="1"/>
  <c r="B179" i="1"/>
  <c r="D178" i="1"/>
  <c r="J32" i="1"/>
  <c r="D242" i="1"/>
  <c r="D238" i="1"/>
  <c r="D241" i="1" s="1"/>
  <c r="E71" i="1"/>
  <c r="E74" i="1" s="1"/>
  <c r="G134" i="1"/>
  <c r="F151" i="1"/>
  <c r="F158" i="1" s="1"/>
  <c r="F159" i="1" s="1"/>
  <c r="D222" i="1"/>
  <c r="C222" i="1" s="1"/>
  <c r="E222" i="1"/>
  <c r="E224" i="1"/>
  <c r="E239" i="1" s="1"/>
  <c r="F193" i="1"/>
  <c r="D180" i="1"/>
  <c r="D179" i="1"/>
  <c r="E159" i="1"/>
  <c r="D159" i="1"/>
  <c r="C159" i="1" s="1"/>
  <c r="B159" i="1" s="1"/>
  <c r="F215" i="1"/>
  <c r="G197" i="1"/>
  <c r="E161" i="1"/>
  <c r="B178" i="1"/>
  <c r="G37" i="1"/>
  <c r="F63" i="1"/>
  <c r="F221" i="1" l="1"/>
  <c r="F222" i="1" s="1"/>
  <c r="E88" i="1"/>
  <c r="E91" i="1" s="1"/>
  <c r="E87" i="1"/>
  <c r="E90" i="1" s="1"/>
  <c r="F161" i="1"/>
  <c r="E176" i="1"/>
  <c r="E175" i="1"/>
  <c r="E72" i="1"/>
  <c r="D72" i="1"/>
  <c r="C72" i="1" s="1"/>
  <c r="B72" i="1" s="1"/>
  <c r="K32" i="1"/>
  <c r="F71" i="1"/>
  <c r="F72" i="1" s="1"/>
  <c r="G193" i="1"/>
  <c r="H37" i="1"/>
  <c r="G63" i="1"/>
  <c r="G215" i="1"/>
  <c r="G221" i="1" s="1"/>
  <c r="H197" i="1"/>
  <c r="E242" i="1"/>
  <c r="E238" i="1"/>
  <c r="E241" i="1" s="1"/>
  <c r="H134" i="1"/>
  <c r="G151" i="1"/>
  <c r="G158" i="1" s="1"/>
  <c r="G159" i="1" s="1"/>
  <c r="H131" i="1"/>
  <c r="G222" i="1" l="1"/>
  <c r="F224" i="1"/>
  <c r="F239" i="1" s="1"/>
  <c r="F242" i="1" s="1"/>
  <c r="G161" i="1"/>
  <c r="G176" i="1" s="1"/>
  <c r="G71" i="1"/>
  <c r="G72" i="1" s="1"/>
  <c r="F74" i="1"/>
  <c r="I131" i="1"/>
  <c r="I37" i="1"/>
  <c r="H63" i="1"/>
  <c r="F176" i="1"/>
  <c r="F175" i="1"/>
  <c r="H215" i="1"/>
  <c r="H221" i="1" s="1"/>
  <c r="H222" i="1" s="1"/>
  <c r="I197" i="1"/>
  <c r="G224" i="1"/>
  <c r="G239" i="1" s="1"/>
  <c r="H193" i="1"/>
  <c r="E180" i="1"/>
  <c r="E179" i="1"/>
  <c r="I134" i="1"/>
  <c r="H151" i="1"/>
  <c r="H158" i="1" s="1"/>
  <c r="H159" i="1" s="1"/>
  <c r="F238" i="1"/>
  <c r="F241" i="1" s="1"/>
  <c r="E178" i="1"/>
  <c r="G175" i="1" l="1"/>
  <c r="G179" i="1" s="1"/>
  <c r="F88" i="1"/>
  <c r="F91" i="1" s="1"/>
  <c r="F87" i="1"/>
  <c r="F90" i="1" s="1"/>
  <c r="G242" i="1"/>
  <c r="G238" i="1"/>
  <c r="G241" i="1" s="1"/>
  <c r="H161" i="1"/>
  <c r="I215" i="1"/>
  <c r="I221" i="1" s="1"/>
  <c r="I222" i="1" s="1"/>
  <c r="J197" i="1"/>
  <c r="F178" i="1"/>
  <c r="J131" i="1"/>
  <c r="J134" i="1"/>
  <c r="I151" i="1"/>
  <c r="I158" i="1" s="1"/>
  <c r="I159" i="1" s="1"/>
  <c r="H71" i="1"/>
  <c r="H72" i="1" s="1"/>
  <c r="H224" i="1"/>
  <c r="H239" i="1" s="1"/>
  <c r="I193" i="1"/>
  <c r="F180" i="1"/>
  <c r="F179" i="1"/>
  <c r="J37" i="1"/>
  <c r="I63" i="1"/>
  <c r="G74" i="1"/>
  <c r="G178" i="1"/>
  <c r="G180" i="1" l="1"/>
  <c r="H176" i="1"/>
  <c r="H175" i="1"/>
  <c r="K37" i="1"/>
  <c r="K63" i="1" s="1"/>
  <c r="K71" i="1" s="1"/>
  <c r="J63" i="1"/>
  <c r="I224" i="1"/>
  <c r="I239" i="1" s="1"/>
  <c r="J193" i="1"/>
  <c r="I71" i="1"/>
  <c r="I72" i="1" s="1"/>
  <c r="H242" i="1"/>
  <c r="H238" i="1"/>
  <c r="H241" i="1" s="1"/>
  <c r="J151" i="1"/>
  <c r="J158" i="1" s="1"/>
  <c r="J159" i="1" s="1"/>
  <c r="K134" i="1"/>
  <c r="K151" i="1" s="1"/>
  <c r="K158" i="1" s="1"/>
  <c r="K131" i="1"/>
  <c r="J215" i="1"/>
  <c r="J221" i="1" s="1"/>
  <c r="J222" i="1" s="1"/>
  <c r="K197" i="1"/>
  <c r="K215" i="1" s="1"/>
  <c r="K221" i="1" s="1"/>
  <c r="G88" i="1"/>
  <c r="G91" i="1" s="1"/>
  <c r="G87" i="1"/>
  <c r="G90" i="1" s="1"/>
  <c r="H74" i="1"/>
  <c r="I161" i="1"/>
  <c r="K74" i="1" l="1"/>
  <c r="H88" i="1"/>
  <c r="H91" i="1" s="1"/>
  <c r="H87" i="1"/>
  <c r="H90" i="1" s="1"/>
  <c r="J161" i="1"/>
  <c r="J224" i="1"/>
  <c r="J239" i="1" s="1"/>
  <c r="K193" i="1"/>
  <c r="K224" i="1" s="1"/>
  <c r="K239" i="1" s="1"/>
  <c r="H180" i="1"/>
  <c r="H179" i="1"/>
  <c r="K161" i="1"/>
  <c r="I242" i="1"/>
  <c r="I238" i="1"/>
  <c r="I241" i="1" s="1"/>
  <c r="I176" i="1"/>
  <c r="I175" i="1"/>
  <c r="K222" i="1"/>
  <c r="K159" i="1"/>
  <c r="I74" i="1"/>
  <c r="J71" i="1"/>
  <c r="J72" i="1" s="1"/>
  <c r="H178" i="1"/>
  <c r="J74" i="1" l="1"/>
  <c r="J88" i="1" s="1"/>
  <c r="J91" i="1" s="1"/>
  <c r="I178" i="1"/>
  <c r="I180" i="1"/>
  <c r="I179" i="1"/>
  <c r="J242" i="1"/>
  <c r="J238" i="1"/>
  <c r="J241" i="1" s="1"/>
  <c r="I88" i="1"/>
  <c r="I91" i="1" s="1"/>
  <c r="I87" i="1"/>
  <c r="I90" i="1" s="1"/>
  <c r="K176" i="1"/>
  <c r="K175" i="1"/>
  <c r="K242" i="1"/>
  <c r="K238" i="1"/>
  <c r="K241" i="1" s="1"/>
  <c r="K88" i="1"/>
  <c r="K91" i="1" s="1"/>
  <c r="K87" i="1"/>
  <c r="K90" i="1" s="1"/>
  <c r="J175" i="1"/>
  <c r="J176" i="1"/>
  <c r="K72" i="1"/>
  <c r="J87" i="1" l="1"/>
  <c r="J90" i="1" s="1"/>
  <c r="J178" i="1"/>
  <c r="K180" i="1"/>
  <c r="K179" i="1"/>
  <c r="K178" i="1"/>
  <c r="J179" i="1"/>
  <c r="J180" i="1"/>
</calcChain>
</file>

<file path=xl/sharedStrings.xml><?xml version="1.0" encoding="utf-8"?>
<sst xmlns="http://schemas.openxmlformats.org/spreadsheetml/2006/main" count="437" uniqueCount="405">
  <si>
    <t>Source CPCNRS-fonteglobaleglaciers-Frweb</t>
    <phoneticPr fontId="7" type="noConversion"/>
  </si>
  <si>
    <t>Fonte en Giga  Tonnes/an</t>
    <phoneticPr fontId="7" type="noConversion"/>
  </si>
  <si>
    <t>LES GAINS</t>
  </si>
  <si>
    <t>Dommages biodiversité France</t>
    <phoneticPr fontId="7" type="noConversion"/>
  </si>
  <si>
    <t>production de dommages année courante biodiversité en Meuros 2015</t>
    <phoneticPr fontId="7" type="noConversion"/>
  </si>
  <si>
    <t>France PIBE annuel = PIB (hors investissements) + gain - dommages en Geuros 2015</t>
    <phoneticPr fontId="7" type="noConversion"/>
  </si>
  <si>
    <t>Jouy le Moutier PIBE annuel = PIB + gain (hors investissements) - dommages en Meuros 2015</t>
    <phoneticPr fontId="7" type="noConversion"/>
  </si>
  <si>
    <t>stock actif conditions annuelles de bien-être/habitant (gains - dommages 1990) euros 2015</t>
    <phoneticPr fontId="7" type="noConversion"/>
  </si>
  <si>
    <t>Monde PIBE annuel =PIB (hors investissements) +gain -dommages en GUS$ 2015</t>
    <phoneticPr fontId="7" type="noConversion"/>
  </si>
  <si>
    <t>source tableur carbone à la commune 2019 agirlocal.org et population-emploi-revenu médian commune</t>
    <phoneticPr fontId="7" type="noConversion"/>
  </si>
  <si>
    <t>source R Geyer sciadv.1700782; 58% en 2014, 6% en 2050</t>
  </si>
  <si>
    <t xml:space="preserve">source statista le marché juteux des pesticides </t>
    <phoneticPr fontId="7" type="noConversion"/>
  </si>
  <si>
    <t>DONNEES PRINCIPALES</t>
    <phoneticPr fontId="7" type="noConversion"/>
  </si>
  <si>
    <t>DONNEES PRINCIPALES</t>
    <phoneticPr fontId="7" type="noConversion"/>
  </si>
  <si>
    <t>melange sources artificialisation</t>
  </si>
  <si>
    <t>sources FAO rapport  i3347e.pdf et UN https://www.unep.org/resources/report/unep-food-waste-index-report-2021</t>
  </si>
  <si>
    <t>%  gâchis agricole sur production agricole, en GT évalué en 2007 (lost &amp;waste)</t>
  </si>
  <si>
    <t>sous détail  éléments, total cumulé</t>
  </si>
  <si>
    <t>Source Banque mondiale https://donnees.banquemondiale.org/indicator/AG.LND.AGRI.K2 ; 2021-2025 extrapolation tendance 2012-2020 via PIB</t>
  </si>
  <si>
    <t>gain d'espérance de vie année courante depuis 1950, en années</t>
  </si>
  <si>
    <t>SEIF annuelle France en Giga euros constants 2015</t>
  </si>
  <si>
    <t>Production de dommages Jouy le Moutier année courante par déchets plastiques en Meuros 2015</t>
    <phoneticPr fontId="7" type="noConversion"/>
  </si>
  <si>
    <t>à proportion de la population plus l'emploi et du revenu médian JLM-France</t>
    <phoneticPr fontId="7" type="noConversion"/>
  </si>
  <si>
    <t>source tableur carbone 2019</t>
    <phoneticPr fontId="7" type="noConversion"/>
  </si>
  <si>
    <t>population</t>
    <phoneticPr fontId="7" type="noConversion"/>
  </si>
  <si>
    <t>Ile de France</t>
    <phoneticPr fontId="7" type="noConversion"/>
  </si>
  <si>
    <t>à partir des données monde à proportion du PIB et en geuros</t>
    <phoneticPr fontId="7" type="noConversion"/>
  </si>
  <si>
    <t>1968</t>
  </si>
  <si>
    <t>1969</t>
  </si>
  <si>
    <t>1970</t>
  </si>
  <si>
    <t>1971</t>
  </si>
  <si>
    <t>1972</t>
  </si>
  <si>
    <t>1973</t>
  </si>
  <si>
    <t>1974</t>
  </si>
  <si>
    <t xml:space="preserve">consommation  sous-sol interpolé 959 giga m3 en 2017 à proportion fgw 2015-2020 extrapolé au delà </t>
  </si>
  <si>
    <t>LES GAINS</t>
    <phoneticPr fontId="7" type="noConversion"/>
  </si>
  <si>
    <t xml:space="preserve">source Insee et tableur sauv pop-emp-rev med Jouy le moutier </t>
    <phoneticPr fontId="7" type="noConversion"/>
  </si>
  <si>
    <t>Test évolution des sources UN</t>
    <phoneticPr fontId="7" type="noConversion"/>
  </si>
  <si>
    <t>Sous-détail Population, emploi et revenu médian 2019</t>
    <phoneticPr fontId="7" type="noConversion"/>
  </si>
  <si>
    <t xml:space="preserve">annualisation Population, emploi et revenu médian annuel ; voir tableur pop-emp-rev med Jouy le moutier </t>
    <phoneticPr fontId="7" type="noConversion"/>
  </si>
  <si>
    <t>Sous détail Utcaf GHG</t>
    <phoneticPr fontId="7" type="noConversion"/>
  </si>
  <si>
    <t>SOUS_DETAIL 1950</t>
    <phoneticPr fontId="7" type="noConversion"/>
  </si>
  <si>
    <t>SAU mondiale en millions de km2</t>
    <phoneticPr fontId="7" type="noConversion"/>
  </si>
  <si>
    <t>source: ourworldindata.org/grapher/total-agricultural-area-over-the-long-term</t>
    <phoneticPr fontId="7" type="noConversion"/>
  </si>
  <si>
    <t>source : github.com/owid/co2-data</t>
    <phoneticPr fontId="7" type="noConversion"/>
  </si>
  <si>
    <t>surfaces artificialisée, source FAO, world land cover en millier d'ha 2020-2021 résolution 10m; pm</t>
  </si>
  <si>
    <t>source FA0,par pays, industrie agriculture services</t>
  </si>
  <si>
    <t>au prorata PIB France-Monde</t>
  </si>
  <si>
    <t>France fresh ground water Giga M3/an</t>
  </si>
  <si>
    <t>consommation  sous-sol en Giga M3/an</t>
  </si>
  <si>
    <t>Fonte annuelle glacier en Giga tonnes  cf détail ci-dessous</t>
  </si>
  <si>
    <t>SEIF annuellles Monde GigaUS$ constant 2015</t>
  </si>
  <si>
    <t>source INSEE, via  le tableur carbone à la commune: www.agirlocal.org/mode-calcul-emissions-co2e-a-la-commune/</t>
    <phoneticPr fontId="7" type="noConversion"/>
  </si>
  <si>
    <t>emploi</t>
    <phoneticPr fontId="7" type="noConversion"/>
  </si>
  <si>
    <t>population + emploi</t>
    <phoneticPr fontId="7" type="noConversion"/>
  </si>
  <si>
    <t>empreinte carbone 2019 MTCO2e</t>
    <phoneticPr fontId="7" type="noConversion"/>
  </si>
  <si>
    <t xml:space="preserve">O,165 </t>
    <phoneticPr fontId="7" type="noConversion"/>
  </si>
  <si>
    <t>LES GAINS</t>
    <phoneticPr fontId="7" type="noConversion"/>
  </si>
  <si>
    <t>LES DOMMAGES</t>
    <phoneticPr fontId="7" type="noConversion"/>
  </si>
  <si>
    <t>PRODUIT INTERIEUR DE BIEN-ÊTRE</t>
    <phoneticPr fontId="7" type="noConversion"/>
  </si>
  <si>
    <t>France</t>
    <phoneticPr fontId="7" type="noConversion"/>
  </si>
  <si>
    <t>LES DOMMAGES</t>
    <phoneticPr fontId="7" type="noConversion"/>
  </si>
  <si>
    <t>revenu médian</t>
    <phoneticPr fontId="7" type="noConversion"/>
  </si>
  <si>
    <t xml:space="preserve">source CCI-LC 1990,2021 et 2025 interpolé PIB; </t>
  </si>
  <si>
    <t>surfaces artificialisée, source FAO, CCILC en millier d'ha</t>
  </si>
  <si>
    <t>SAU mondiale en millions de km2</t>
  </si>
  <si>
    <t>surfaces artificialisée, source FAO, world land cover en millier d'ha 2020-2021 résolution 10m</t>
  </si>
  <si>
    <t>source Europe Plastic rapports; 1990 et 2025 extrapolés au prorata PIB</t>
  </si>
  <si>
    <t>PIB monde GUS$ courants</t>
  </si>
  <si>
    <t>coefficient change = moyenne 2010-2020 soit 1,258 US $ pour 1 euro</t>
  </si>
  <si>
    <t>source banque mondiale; extrapolation via croissance 2011-2019 pour 2025</t>
  </si>
  <si>
    <t>Source Statista 2018: 2008 à 2018, un an sur deux; puis interpolation ou extrapolation sauf 2021 FAO 43,2 GUS$</t>
  </si>
  <si>
    <t>PIBE annuel / habitant Jouy le Moutier en euros 2015</t>
    <phoneticPr fontId="7" type="noConversion"/>
  </si>
  <si>
    <t>Production de dommages année courante par perte d'engrais en GUS$ 2015 à partir du gâchis agricole</t>
    <phoneticPr fontId="7" type="noConversion"/>
  </si>
  <si>
    <t xml:space="preserve">prix annuel d'exportation du plastic,  source UNTCAD  commerce mondial en GUS$ Constant 2015 /MT </t>
  </si>
  <si>
    <t>production Europe annuelle de plastiques en MT/an source Plastic Europe pm</t>
  </si>
  <si>
    <t>Production de dommages année courante pesticides en GEuros2015</t>
    <phoneticPr fontId="7" type="noConversion"/>
  </si>
  <si>
    <t>à 60€ par TCO2e; extrapolation via GES pour 2025</t>
  </si>
  <si>
    <t xml:space="preserve">MT: https://ourworldindata.org/fertilizers#explore-data-on-fertilizers </t>
  </si>
  <si>
    <t xml:space="preserve">GUS$ : https://www.banquemondiale.org/fr/news/press-release/2022/10/26/commodity-markets-outlook </t>
  </si>
  <si>
    <t>1965</t>
  </si>
  <si>
    <t>1966</t>
  </si>
  <si>
    <t>1967</t>
  </si>
  <si>
    <t>la valeur de l'eau consommée est prise égale à 49,5% de la valeur prélevée</t>
    <phoneticPr fontId="7" type="noConversion"/>
  </si>
  <si>
    <t>part des subventions 2019 i et E en %</t>
    <phoneticPr fontId="7" type="noConversion"/>
  </si>
  <si>
    <t>Source UN via ined yc projection 2025</t>
  </si>
  <si>
    <t xml:space="preserve">France </t>
  </si>
  <si>
    <t>Population France en milliers de personnes</t>
  </si>
  <si>
    <t>source CCI-LC: surface artificialisée 1990 à proportion PIB de 1990 sur 1992; 2021 et 2025 interpolé PIB</t>
    <phoneticPr fontId="7" type="noConversion"/>
  </si>
  <si>
    <t>SAU France en km2</t>
    <phoneticPr fontId="7" type="noConversion"/>
  </si>
  <si>
    <t xml:space="preserve"> </t>
  </si>
  <si>
    <t>Source statista; principe : décennie 90=0,94 ; décenie 2010= 1,21; 2020=1,5</t>
  </si>
  <si>
    <t>Source Insee : comptes de la nation annuels en Gigaeuros 2014, (inflation 2014-2015 nulle); sauf 2025</t>
  </si>
  <si>
    <t>source Aquastat</t>
  </si>
  <si>
    <t>source https://ourworldindata.org/plastic-pollution fondée  R Geyer sciadv</t>
  </si>
  <si>
    <t xml:space="preserve"> par SAU perdue et PIB (CCI-LC)/ </t>
  </si>
  <si>
    <t>tonne de glace/eau : 0,917 T/M3</t>
  </si>
  <si>
    <t>PIB Monde GUS$ constants</t>
  </si>
  <si>
    <t>Phosphates</t>
    <phoneticPr fontId="6" type="noConversion"/>
  </si>
  <si>
    <t>Potasse</t>
    <phoneticPr fontId="6" type="noConversion"/>
  </si>
  <si>
    <t>TOTAL</t>
    <phoneticPr fontId="6" type="noConversion"/>
  </si>
  <si>
    <t>US$/tonne</t>
    <phoneticPr fontId="6" type="noConversion"/>
  </si>
  <si>
    <t>"azote"</t>
  </si>
  <si>
    <t>"phosphate"</t>
  </si>
  <si>
    <t>"potasse"</t>
  </si>
  <si>
    <t>la valeur de l'eau souterraine prélevée est prise égale à l'efficacité de l'eau indicateur 6-4-1 de la Fao</t>
  </si>
  <si>
    <t>total monde</t>
  </si>
  <si>
    <t>somme de 1990 à 2000</t>
  </si>
  <si>
    <t>S 2001 à 2015</t>
  </si>
  <si>
    <t>S 1990 à 2015</t>
  </si>
  <si>
    <t>GUS$/an</t>
    <phoneticPr fontId="6" type="noConversion"/>
  </si>
  <si>
    <t>Total</t>
    <phoneticPr fontId="6" type="noConversion"/>
  </si>
  <si>
    <t>Source Fao et UN ODD 123-a et b; voir détail sources et calcul ligne 179, gâchis agriculture (1,728 GT) pour 6627 millions humains 2007</t>
    <phoneticPr fontId="7" type="noConversion"/>
  </si>
  <si>
    <t>Production de dommages année courante par déchets plastiques en GUS$ 2015</t>
    <phoneticPr fontId="7" type="noConversion"/>
  </si>
  <si>
    <t>puis télécharger les tableaux agriculture</t>
  </si>
  <si>
    <t>En US$ constant via le rapport PIB constant-PIB courant; 2025 au prorata GES</t>
  </si>
  <si>
    <t>UTCAF incluses, Source UN (1990-2019) puis ourworldindata.org sauf 2025 (FMI implicite)</t>
  </si>
  <si>
    <t>Population Monde, en millions de personnes</t>
  </si>
  <si>
    <t>PIB Monde GigaUS$ constants 2015</t>
    <phoneticPr fontId="7" type="noConversion"/>
  </si>
  <si>
    <t>PIB Monde "Geuro constants 2015"</t>
    <phoneticPr fontId="7" type="noConversion"/>
  </si>
  <si>
    <t xml:space="preserve">Taux prix marché sur prix efficace road diesel </t>
    <phoneticPr fontId="7" type="noConversion"/>
  </si>
  <si>
    <t xml:space="preserve">essence M de Tonnes      </t>
    <phoneticPr fontId="7" type="noConversion"/>
  </si>
  <si>
    <t>proportionnel à variation PIB France à partir de coût 2019, Geuros 2015 ; coût réel?</t>
    <phoneticPr fontId="7" type="noConversion"/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</si>
  <si>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</si>
  <si>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</si>
  <si>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</si>
  <si>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</si>
  <si>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</si>
  <si>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</si>
  <si>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</si>
  <si>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</si>
  <si>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</si>
  <si>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</si>
  <si>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</si>
  <si>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</si>
  <si>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</si>
  <si>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</si>
  <si>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</si>
  <si>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</si>
  <si>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</si>
  <si>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</si>
  <si>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</si>
  <si>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</si>
  <si>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</si>
  <si>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</si>
  <si>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</si>
  <si>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</si>
  <si>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</si>
  <si>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</si>
  <si>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</si>
  <si>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</si>
  <si>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</si>
  <si>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</si>
  <si>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</si>
  <si>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</si>
  <si>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SOUS_DETAIL FONTE GLACIERS</t>
  </si>
  <si>
    <t>NY.GDP.MKTP.KD</t>
  </si>
  <si>
    <t>Indicator Name</t>
  </si>
  <si>
    <t>Indicator Code</t>
  </si>
  <si>
    <t>1960</t>
  </si>
  <si>
    <t>1961</t>
  </si>
  <si>
    <t>1962</t>
  </si>
  <si>
    <t>France 30 GUS$ courants 2019 Source rapport FMI WP/21/236 p36</t>
  </si>
  <si>
    <t>JOUY LE MOUTIER</t>
  </si>
  <si>
    <t>Val d'Oise</t>
  </si>
  <si>
    <t>Cergy-pontoise</t>
  </si>
  <si>
    <t>Jouy le Moutier</t>
  </si>
  <si>
    <t>UTCAF incluses, Source ourworldindata.org sauf 2025 (FMI implicite)</t>
  </si>
  <si>
    <t>2000-2004</t>
  </si>
  <si>
    <t>données</t>
  </si>
  <si>
    <t>2015-2019</t>
  </si>
  <si>
    <t>source datalab 2021, % de tWh</t>
  </si>
  <si>
    <t>source Banque mondiale</t>
    <phoneticPr fontId="7" type="noConversion"/>
  </si>
  <si>
    <t>Charbon</t>
    <phoneticPr fontId="7" type="noConversion"/>
  </si>
  <si>
    <t>2000-2019</t>
  </si>
  <si>
    <t>Monde</t>
  </si>
  <si>
    <t>PIB ($ US constants de 2015)</t>
  </si>
  <si>
    <t>à partir des données monde à proportion du PIB et en geuros</t>
    <phoneticPr fontId="7" type="noConversion"/>
  </si>
  <si>
    <t>Pesticides Monde MT ingrédients actifs (pm)</t>
    <phoneticPr fontId="7" type="noConversion"/>
  </si>
  <si>
    <t>Source UN Time Series - Net CO₂ emissions/removals from LULUCF; 2025 interpolée</t>
  </si>
  <si>
    <t>taux d'inflation France euros 2015-2019 sourde Insee 0,041</t>
    <phoneticPr fontId="7" type="noConversion"/>
  </si>
  <si>
    <t>Rapport FMI p23 l'électricité n'est pas prise en compte dans ce calcul</t>
    <phoneticPr fontId="7" type="noConversion"/>
  </si>
  <si>
    <t>lu sur graphique FMI p20</t>
    <phoneticPr fontId="7" type="noConversion"/>
  </si>
  <si>
    <t>part des énergies fossiles dans le mix français 2019 en % de tWh</t>
  </si>
  <si>
    <t xml:space="preserve">l'annualisation de la SEIF est prise proportionellement aux variations  mondiales d'émissions  </t>
  </si>
  <si>
    <t xml:space="preserve">l'annualisation de la SEIF France est prise proportionellement aux variations  mondiales d'émissions  </t>
  </si>
  <si>
    <t>les dommages monde 2015 sont pris proportionnels aux émissions mondiales 2019/2015)</t>
  </si>
  <si>
    <t xml:space="preserve">SEI 2019 = 30 GUS$2019=23 Geuros 2015 </t>
  </si>
  <si>
    <t>Rapport FMI p18 et annexe E, (hors électricité dans cette répartition)</t>
  </si>
  <si>
    <t>revenu médian annuel</t>
    <phoneticPr fontId="7" type="noConversion"/>
  </si>
  <si>
    <t>MONDE</t>
  </si>
  <si>
    <t xml:space="preserve"> diesel routier + fuel chauffage M de Tonnes </t>
  </si>
  <si>
    <t xml:space="preserve">Taux prix marché sur prix efficace gasoline </t>
  </si>
  <si>
    <t>Emissions  mondiales de GES en MTCO2e/an</t>
  </si>
  <si>
    <t>Empreinte carbone France en MTCO2e/an</t>
  </si>
  <si>
    <t>SEIF subventions explicites et implicites fossiles</t>
  </si>
  <si>
    <t>fresh ground water (FAO 2015-2020) puis interpolation PIB Monde 1990 et fgw après 2020 Giga M3</t>
  </si>
  <si>
    <t xml:space="preserve">interpolations proportionnelles à la température déclenchée 10 ans auparavent </t>
  </si>
  <si>
    <t>température déclenchée année courante moins 10 ans</t>
  </si>
  <si>
    <t>température déclenchée année courante</t>
  </si>
  <si>
    <t>source rendre visible l'invisible ONU</t>
  </si>
  <si>
    <t>SOUS_DETAIL FERTILISANTS Sources: Bloomberg ; Banque Mondiale</t>
  </si>
  <si>
    <t>1990 interpolé 1992-1993-1994 CCI-LC (300m); 2015-2019 CG-LS (100m); 2020-2021 World cover</t>
  </si>
  <si>
    <t>Source FAO https://www.fao.org/faostat/en/#data/RP/visualize; 2025 extrapolé PIB</t>
  </si>
  <si>
    <t>SOUS_DETAIL PESTICIDES</t>
  </si>
  <si>
    <t xml:space="preserve">SOUS_DETAIL GACHIS AGRICULTURE </t>
  </si>
  <si>
    <t>MONDE Sous-Détails</t>
  </si>
  <si>
    <t>% Gâchis de production à vente 1,6 GT dont 1,3 pour la nourriture 2007; de détail à maison 121kg/personne 2018; 6GT de production agricole totale ; population mondiale 2007 6,6 milliards</t>
  </si>
  <si>
    <t>Monde en MT</t>
    <phoneticPr fontId="6" type="noConversion"/>
  </si>
  <si>
    <t>Azote</t>
    <phoneticPr fontId="6" type="noConversion"/>
  </si>
  <si>
    <t>données world land cover;la résolution à 10m  indique une sous estimation de CCI-LC.</t>
    <phoneticPr fontId="7" type="noConversion"/>
  </si>
  <si>
    <t xml:space="preserve">pétrole </t>
    <phoneticPr fontId="7" type="noConversion"/>
  </si>
  <si>
    <t>gaz</t>
    <phoneticPr fontId="7" type="noConversion"/>
  </si>
  <si>
    <t>Source UN https://unfccc.int/topics/mitigation/resources/registry-and-data/ghg-data-from-unfccc</t>
  </si>
  <si>
    <t>Coût marchand annuel énergies fossiles Geuros 2015</t>
  </si>
  <si>
    <t xml:space="preserve">population plus emploi </t>
    <phoneticPr fontId="7" type="noConversion"/>
  </si>
  <si>
    <t>Emploi</t>
    <phoneticPr fontId="7" type="noConversion"/>
  </si>
  <si>
    <t xml:space="preserve">Population </t>
    <phoneticPr fontId="7" type="noConversion"/>
  </si>
  <si>
    <t>Emploi France en milliers de personnes</t>
    <phoneticPr fontId="7" type="noConversion"/>
  </si>
  <si>
    <t xml:space="preserve">Source Insee </t>
    <phoneticPr fontId="7" type="noConversion"/>
  </si>
  <si>
    <t>Source Insee + interpolations</t>
    <phoneticPr fontId="7" type="noConversion"/>
  </si>
  <si>
    <t>revenu médian France euros 2015</t>
  </si>
  <si>
    <t>PIBE annuel / habitant France en euros 2015</t>
    <phoneticPr fontId="7" type="noConversion"/>
  </si>
  <si>
    <t>Agriculture</t>
  </si>
  <si>
    <t>Industrie</t>
  </si>
  <si>
    <t>US$</t>
  </si>
  <si>
    <t>source Fao efficacité utilisation de l'eau https://www.fao.org/sustainable-development-goals/indicators/fr/</t>
  </si>
  <si>
    <t>Giga tonnes</t>
  </si>
  <si>
    <t>services</t>
  </si>
  <si>
    <t>total</t>
  </si>
  <si>
    <t>US$/m3</t>
  </si>
  <si>
    <t>FAOSTAT_data_fr_5-21-2023.xls</t>
  </si>
  <si>
    <t>part des subventions 2019 I et E en s"Geuro constants 2015" energie j</t>
    <phoneticPr fontId="7" type="noConversion"/>
  </si>
  <si>
    <t>Taux prix marché sur prix efficace fj</t>
    <phoneticPr fontId="7" type="noConversion"/>
  </si>
  <si>
    <t xml:space="preserve">lu sur graphique rapport FMI p18 </t>
    <phoneticPr fontId="7" type="noConversion"/>
  </si>
  <si>
    <t xml:space="preserve">source OCDE et Banque mondiale  </t>
    <phoneticPr fontId="7" type="noConversion"/>
  </si>
  <si>
    <t xml:space="preserve">l'amortissment de la FBCF est évaluée avec 20% sur 100 ans, 30% sur 30, 30 sur 15 et 20 sur 7     </t>
    <phoneticPr fontId="7" type="noConversion"/>
  </si>
  <si>
    <t>1963</t>
  </si>
  <si>
    <t>1964</t>
  </si>
  <si>
    <t>SEIF annuel monde</t>
  </si>
  <si>
    <t>SEIF annuel France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</si>
  <si>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</si>
  <si>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</si>
  <si>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</si>
  <si>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</si>
  <si>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</si>
  <si>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</si>
  <si>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</si>
  <si>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</si>
  <si>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</si>
  <si>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</si>
  <si>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</si>
  <si>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</si>
  <si>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1975</t>
  </si>
  <si>
    <t>1976</t>
  </si>
  <si>
    <t>1977</t>
  </si>
  <si>
    <t>source https://unctadstat.unctad.org/wds/TableViewer/tableView.aspx?ReportId=225371 ; 1990 et 2025 extrapolés au prorata PIB</t>
  </si>
  <si>
    <t>SOUS_DETAIL PRIX DE L'EAU SOUTERRAINE</t>
  </si>
  <si>
    <t>PIB Monde GUS$ courants</t>
  </si>
  <si>
    <t>valeur de l'eau années extrapolée</t>
  </si>
  <si>
    <t>S 2022 à 2025</t>
  </si>
  <si>
    <t>taux de change 1,258</t>
  </si>
  <si>
    <t>Production de dommages France année courante par déchets plastiques en Geuros 2015</t>
  </si>
  <si>
    <t xml:space="preserve">Dommages biodiversité </t>
    <phoneticPr fontId="7" type="noConversion"/>
  </si>
  <si>
    <t>production de dommages année courante biodiversité en GUS$ 2015</t>
    <phoneticPr fontId="7" type="noConversion"/>
  </si>
  <si>
    <t>production de dommages année courante biodiversité en GUS$ 2015</t>
    <phoneticPr fontId="7" type="noConversion"/>
  </si>
  <si>
    <t xml:space="preserve">taux moyen prix marché sur prix efficace </t>
  </si>
  <si>
    <t>source insee et data lab</t>
  </si>
  <si>
    <t>2019 en GUS$2015</t>
  </si>
  <si>
    <t>Monde coûts efficace et marchand énergies fossiles GUS$ 2019</t>
  </si>
  <si>
    <t>Coût marchand 2019 énergies fossiles GUS$ 2015</t>
  </si>
  <si>
    <t>SEIF monde 2019-2015 GigaUS$ constants 2015</t>
  </si>
  <si>
    <t>UTCAF  émissions annuelles Jouy le Moutier en TCO2e</t>
    <phoneticPr fontId="7" type="noConversion"/>
  </si>
  <si>
    <t xml:space="preserve">a proportion de la SAU perdue et du PIB (CCI-LC) </t>
    <phoneticPr fontId="7" type="noConversion"/>
  </si>
  <si>
    <t>PIB US$ constants 2015 (source US$ 2011 converti 2015)</t>
  </si>
  <si>
    <t>stocks actifs de dommages énergies fossiles Monde, année n, depuis 1950,  GigaUS$ 2015</t>
  </si>
  <si>
    <t>GHG UTCAF Monde en MTCO2e</t>
  </si>
  <si>
    <t>GHG UTCAF Monde en GUS$ 2015</t>
  </si>
  <si>
    <t>Dommages énergies fossiles Jouy le Moutier année n, en Meuros 2015</t>
  </si>
  <si>
    <t>surfaces artificialisée, source FAO, CCILC en millier d'ha 1992-2020 résolution 300m; sauf 1950</t>
  </si>
  <si>
    <t xml:space="preserve">extrapolation au prorata  de la température déclenchée 10 ans auparavent </t>
  </si>
  <si>
    <t>Interpolation / décennies</t>
  </si>
  <si>
    <t>SEIF France 2019-2015 GigaUS$ constants 2015</t>
  </si>
  <si>
    <t>SEIF France 2019-2015 "Geuro constants 2015"</t>
  </si>
  <si>
    <t>les dommages France 2015 sont pris proportionnels aux émissions mondiales 2019/2015</t>
  </si>
  <si>
    <t>FRANCE Coût efficace et marchand 2019 énergies fossiles"Geuro constants 2015"</t>
  </si>
  <si>
    <t>à proportion SEIF monde 2019 en US$ constant 2015 sur SEIF en US$ courant 2019</t>
  </si>
  <si>
    <t>électricité, 4%, répartie</t>
  </si>
  <si>
    <t xml:space="preserve">Taux prix marchand sur prix efficace </t>
  </si>
  <si>
    <t>CEF Monde Coût 2019 énergies fossiles prix efficace GigaUS$ 2015</t>
  </si>
  <si>
    <t>stocks actifs de perte de biodiversité Monde, année n depuis 1950, en Giga US$</t>
  </si>
  <si>
    <t xml:space="preserve">Source Banque mondiale; 1950 interpolé 1961-1971 </t>
  </si>
  <si>
    <t>GHG UTCAF France en Geuros 2015</t>
  </si>
  <si>
    <t xml:space="preserve"> GHG UTCAF France total en MTCO2e</t>
  </si>
  <si>
    <t>à 60€ par TCO2e, ramené 2015 et proportionnel au PIBannée n/2015; extrapolation via GES pour 2025</t>
  </si>
  <si>
    <t>stocks actifs énergies fossiles France, année n, depuis 1950, en Geuros 2015</t>
  </si>
  <si>
    <t xml:space="preserve"> stocks actifs GHG UTCAF France, année n, depuis 1950, en Geuros 2015</t>
  </si>
  <si>
    <t>stocks actifs pesticides France, année n, depuis 1950, en Geuros 2015</t>
  </si>
  <si>
    <t>stocks actifs  engrais  France, année n, depuis 1950, en Geuros 2015</t>
  </si>
  <si>
    <t>stocks actifs de plastiques,  France depuis 1950, année n, en Geuros 2015</t>
  </si>
  <si>
    <t>France Coût 2019 énergies fossiles prix efficaces "Geuro constants 2015"</t>
    <phoneticPr fontId="7" type="noConversion"/>
  </si>
  <si>
    <t>total</t>
    <phoneticPr fontId="7" type="noConversion"/>
  </si>
  <si>
    <t>source UN</t>
    <phoneticPr fontId="7" type="noConversion"/>
  </si>
  <si>
    <t>gain d'espérance de vie année courante depuis 1950, en années</t>
    <phoneticPr fontId="7" type="noConversion"/>
  </si>
  <si>
    <t>production Monde annuelle de déchets plastiques en MT/an source our world in data</t>
    <phoneticPr fontId="7" type="noConversion"/>
  </si>
  <si>
    <t xml:space="preserve"> GUS$ courant et MT; 2025 extrapolé </t>
    <phoneticPr fontId="7" type="noConversion"/>
  </si>
  <si>
    <t>part des subventions 2019 I et E en Giga US$ 2015</t>
    <phoneticPr fontId="7" type="noConversion"/>
  </si>
  <si>
    <t>GHG UTCAF Jouy le Moutier en Meuros 2015</t>
  </si>
  <si>
    <t>stocks actifs énergies fossiles Jouy le Moutier année n, depuis 1950, en Meuros 2015</t>
  </si>
  <si>
    <t xml:space="preserve"> stocks actifs GHG UTCAF Jouy le Moutier, année n, depuis 1950, en Meuros 2015</t>
  </si>
  <si>
    <t>stocks actifs de plastiques,  Jouy le Moutier depuis 1950, année n, en Meuros 2015</t>
  </si>
  <si>
    <t>-</t>
  </si>
  <si>
    <t>stock actif conditions annuelles de bien-être/habitant (gains - dommages 1990) euros 2015</t>
  </si>
  <si>
    <t xml:space="preserve">empreinte carbone Jouy le Moutier en TCO2e voir tableur pop-emp-rev med Jouy le moutier </t>
  </si>
  <si>
    <t xml:space="preserve">population Jouy le Moutier voir tableur pop-emp-rev med Jouy le moutier </t>
  </si>
  <si>
    <t xml:space="preserve">emploi Jouy le Moutier voir tableur pop-emp-rev med Jouy le moutier </t>
  </si>
  <si>
    <t>PIB annuel Jouy le Moutier en millions d'euros 2015 voir ligne 379</t>
  </si>
  <si>
    <t>investissement France voir tableur  France FBCF Geuros 2015 DP_LIVE_05082023184833418</t>
  </si>
  <si>
    <t>investissement Jouy le Moutier voir tableur FBCF Geuros 2015 DP_LIVE_05082023184833418</t>
  </si>
  <si>
    <t>stocks actifs de dommages pesticides Monde, année n, depuis 1950, en GUS$ 2015</t>
  </si>
  <si>
    <t>stocks actifs de dommages  engrais Monde, année n, depuis 1950, en GUS$ 2015</t>
  </si>
  <si>
    <t>Température 1950 moins 10 ans</t>
  </si>
  <si>
    <t>Monde Eau; fresh ground water=fgw; voir sous détail ci-dessous</t>
  </si>
  <si>
    <t>stocks actifs  engrais  Jouy le Moutier, année n, depuis 1950, en Meuros 2015</t>
  </si>
  <si>
    <t>stocks actifs, gains (depuis 1950-100 ans) moins dommages (depuis 1990) en Meuros 2015</t>
  </si>
  <si>
    <t xml:space="preserve">fonte annuelle glaciers interpolée, Giga tonnes voir détail ci-dessous </t>
  </si>
  <si>
    <t>US$/M3</t>
  </si>
  <si>
    <t>Euros/M3</t>
  </si>
  <si>
    <t>proportionnel à variation émissions monde à partir de coût 2019, GUS$2015 ; coût réel?</t>
  </si>
  <si>
    <t>taux de rejet de plastiques dans l'environnement (hors recyclage et incinération) en %</t>
  </si>
  <si>
    <t>% incinération des plastiques (monde)</t>
  </si>
  <si>
    <t>dommages solde émissions mondiales GES en Geuros , à 60Euros la tonne</t>
  </si>
  <si>
    <t xml:space="preserve">Stock actif de dommages du solde émissions mondiales GES en Geuros </t>
  </si>
  <si>
    <t xml:space="preserve">Stock actif de dommages du solde émissions Jouy le moutier GES en Meuros </t>
  </si>
  <si>
    <t>dommages artificialisation sols France, année n,  en Geuros 2015</t>
  </si>
  <si>
    <t>stocks actifs, gains (depuis 1950-100 ans) moins dommages (depuis 1950) en Geuros 2015</t>
  </si>
  <si>
    <t>Source statista; principe : décennie 90=0,94 ; décennie 2010= 1,21; décennie 2020=1,5</t>
    <phoneticPr fontId="7" type="noConversion"/>
  </si>
  <si>
    <t>dommages solde émissions France GES en Geuros , à 60 Euros 2019 la tonne, indexé PIB</t>
  </si>
  <si>
    <t>PRODUIT INTERIEUR DE BIEN-ETRE MONDE</t>
  </si>
  <si>
    <t>PRODUIT INTERIEUR DE BIEN-ETRE FRANCE</t>
  </si>
  <si>
    <t xml:space="preserve">Stock actif de dommages du solde émissions France depuis 1950, année n, en GES en Geuros </t>
    <phoneticPr fontId="7" type="noConversion"/>
  </si>
  <si>
    <t>stocks actifs, gains (depuis 1950-100 ans) moins dommages (depuis 1950) en Geuros 2015</t>
    <phoneticPr fontId="7" type="noConversion"/>
  </si>
  <si>
    <t>PRODUIT INTERIEUR DE BIEN-ETRE JOUY LE MOUTIER</t>
    <phoneticPr fontId="7" type="noConversion"/>
  </si>
  <si>
    <t>UC France en milliions</t>
    <phoneticPr fontId="7" type="noConversion"/>
  </si>
  <si>
    <t>JOUY LE MOUTIER</t>
    <phoneticPr fontId="7" type="noConversion"/>
  </si>
  <si>
    <t>PIBE annuel / UC  France en euros 2015</t>
    <phoneticPr fontId="7" type="noConversion"/>
  </si>
  <si>
    <t>température monde</t>
    <phoneticPr fontId="7" type="noConversion"/>
  </si>
  <si>
    <t>calculé avec coefficient 1,258, moyenne 2010-2020</t>
  </si>
  <si>
    <t xml:space="preserve"> Source rapport FMI WP/21/236 et plus généralement https://climatedata.imf.org/</t>
  </si>
  <si>
    <t xml:space="preserve">Pesticides Monde chiffre d'affaire Geuros courants en GUS$ Constants 2015 (2008-10-14-16-18) </t>
  </si>
  <si>
    <t>Annualisation Pesticides Monde</t>
  </si>
  <si>
    <t>source UN WPP2022_MORT_F05_1_LIFE_EXPECTANCY_BY_AGE_BOTH_SEXES ; espérance de vie 1950 : 46,5 ans; 2025 prévision UN</t>
  </si>
  <si>
    <t>source datalab 2020  (nouvelle)Estimation de l’empreinte carbone de 1995 à 2020 Données et études statistiques.pdf; empreinte 1990= bilan 1990; extrapolation stabilité pour 2025</t>
  </si>
  <si>
    <t>Dommages biodiversité Jouy le Moutier</t>
  </si>
  <si>
    <t xml:space="preserve">Production dommages Jouy le Moutier année courante fresh ground water et fonte glaciers Meuros </t>
  </si>
  <si>
    <t xml:space="preserve">Pesticides Monde chiffre d'affaire annuel GUS$ 2015 produits achetés en agriculture voir sous détail </t>
  </si>
  <si>
    <t>Production de dommages année courante par perte de pesticides en GUS$ 2015 voir sous détail</t>
  </si>
  <si>
    <t>Coût de marché engrais Monde en GUS$ voir détail ci dessous ramené en US$ constant 2015</t>
  </si>
  <si>
    <t>dommages solde émissions mondiales GES en Mtonnes=émissions mondiales - 3 énergies fossiles-UTCAF</t>
  </si>
  <si>
    <t>augmentation température déclenchée, 0,2°C de 1940 à 1960 puis décennies 1990 à 2020 cf sous-détail</t>
  </si>
  <si>
    <t xml:space="preserve">stocks actifs d'investissement Monde, avec amortissement physique  voir tableur  FBCF Monde  </t>
  </si>
  <si>
    <t>stocks actif d'espérance de vie, Monde, depuis 1950, voir tableur espérance de vie GUS$ 2015</t>
  </si>
  <si>
    <t>stocks actifs espérance de vie depuis  1950 et investissement Monde 100 à 7 ans,  GUS$ 2015</t>
  </si>
  <si>
    <t>stock actif conditions annuelles de bien-être/habitant moins dommages en US$ 2015</t>
  </si>
  <si>
    <t>source UN WPP2022_MORT_F05_1_LIFE_EXPECTANCY_BY_AGE_BOTH_SEXES ; espérance de vie</t>
  </si>
  <si>
    <t xml:space="preserve">Production de dommages année courante par perte d'engrais en GEuros2015 ( gâchis de l'agriculture) </t>
  </si>
  <si>
    <t>stock actif de dommages eau souterraines et glaciers,Monde, année n, depuis 1950, GUS$ 2015</t>
  </si>
  <si>
    <t xml:space="preserve">surfaces artificialisée, source FAO, CCILC en millier d'ha 1992-2020 résolution 300m; </t>
  </si>
  <si>
    <t xml:space="preserve">stocks actifs GHG UTCAF Monde, année n, depuis 1950, en GUS$ 2015 </t>
  </si>
  <si>
    <t>stocks actifs énergies fossiles, Utcaf, solde émissions,biodiversité Monde depuis 1950 GUS$ 2015</t>
  </si>
  <si>
    <t>investissement mondial  tableur OCDE-Monde FCBF GUS$ 2015 DP_LIVE_05082023184833418</t>
  </si>
  <si>
    <t>stocks actifs énergies fossiles, Utcaf, solde TCO2e, biodiversité France depuis 1950 GUS$2015</t>
  </si>
  <si>
    <t>stocks actifs d'investissement avec amortissement physique Geuros 2015 tableur FBCF-France</t>
  </si>
  <si>
    <t>stocks actifs énergies fossiles, Utcaf, solde TCO2e, biodiversité JLM depuis 1950, Meuros 2015</t>
  </si>
  <si>
    <t xml:space="preserve">gain d'espérance de vie année courante depuis 1950, en années; </t>
  </si>
  <si>
    <t>stocks actifs espérance de vie depuis  1950 et investissement depuis 100 à 7 ans,Geuros 2015</t>
  </si>
  <si>
    <t>Production de dommages année courante par perte d'engrais en MEuros2015 (gâchis de l'agriculture )</t>
  </si>
  <si>
    <t>stock actif de dommages plastiques Monde, depuis 1950, par an en GUS$ 2015</t>
  </si>
  <si>
    <t xml:space="preserve">Production de dommages année courante fresh ground water et fonte glaciers gigaUS$ ; prix, cf sous-détail </t>
  </si>
  <si>
    <t>stock actif de l'ensemble des dommages UTCAF Monde, année n, depuis 1950, GUS$ 2015</t>
  </si>
  <si>
    <t>Coût marchand 2019 énergies fossiless"Geuro constants 2015"</t>
  </si>
  <si>
    <t>stocks actifs eau souterraines et glaciers, France depuis 1950, année n, en GEuros 2015</t>
  </si>
  <si>
    <t xml:space="preserve"> stocks actifs perte de biodiversité, France depuis 1950, année n, en Geuros 2015  </t>
  </si>
  <si>
    <t>Production de dommages année courante pesticides en Meuros2015</t>
  </si>
  <si>
    <t>stocks actifs pesticides Jouy le Moutier, année n, depuis 1950, en Meuros 2015</t>
  </si>
  <si>
    <r>
      <t xml:space="preserve"> </t>
    </r>
    <r>
      <rPr>
        <b/>
        <i/>
        <sz val="9"/>
        <rFont val="Verdana"/>
        <family val="2"/>
      </rPr>
      <t>stocks actifs artificialisation sols Monde, depuis 1950, année n,  en GUS$ 2015</t>
    </r>
  </si>
  <si>
    <r>
      <t>dommages</t>
    </r>
    <r>
      <rPr>
        <b/>
        <i/>
        <sz val="9"/>
        <rFont val="Verdana"/>
        <family val="2"/>
      </rPr>
      <t xml:space="preserve"> </t>
    </r>
    <r>
      <rPr>
        <sz val="9"/>
        <rFont val="Verdana"/>
        <family val="2"/>
      </rPr>
      <t>artificialisation sols France, année n,  en Geuros 2015</t>
    </r>
  </si>
  <si>
    <r>
      <t xml:space="preserve"> </t>
    </r>
    <r>
      <rPr>
        <b/>
        <i/>
        <sz val="9"/>
        <rFont val="Verdana"/>
        <family val="2"/>
      </rPr>
      <t>stocks actifs artificialisation sols France, depuis 1950, année n,  en Geuros 2015</t>
    </r>
  </si>
  <si>
    <r>
      <t>stocks actif d'espérance de vie année n, depuis 1950, voir tableur espérance de vie Geuros 2015</t>
    </r>
    <r>
      <rPr>
        <b/>
        <sz val="9"/>
        <color indexed="10"/>
        <rFont val="Verdana"/>
        <family val="2"/>
      </rPr>
      <t xml:space="preserve"> </t>
    </r>
  </si>
  <si>
    <r>
      <t>dommages</t>
    </r>
    <r>
      <rPr>
        <b/>
        <i/>
        <sz val="9"/>
        <rFont val="Verdana"/>
        <family val="2"/>
      </rPr>
      <t xml:space="preserve"> </t>
    </r>
    <r>
      <rPr>
        <sz val="9"/>
        <rFont val="Verdana"/>
        <family val="2"/>
      </rPr>
      <t>artificialisation sols Jouy le Moutier, année n,  en Meuros 2015</t>
    </r>
  </si>
  <si>
    <r>
      <t xml:space="preserve"> </t>
    </r>
    <r>
      <rPr>
        <b/>
        <i/>
        <sz val="9"/>
        <rFont val="Verdana"/>
        <family val="2"/>
      </rPr>
      <t>stocks actifs artificialisation sols Jouy le Moutier, depuis 1950, année n,  en Meuros 2015</t>
    </r>
  </si>
  <si>
    <r>
      <t xml:space="preserve"> stocks actifs perte de biodiversité, Jouy le Moutier depuis 1950, année n, en</t>
    </r>
    <r>
      <rPr>
        <b/>
        <sz val="9"/>
        <color indexed="10"/>
        <rFont val="Verdana"/>
        <family val="2"/>
      </rPr>
      <t xml:space="preserve"> </t>
    </r>
    <r>
      <rPr>
        <b/>
        <sz val="9"/>
        <rFont val="Verdana"/>
        <family val="2"/>
      </rPr>
      <t>Meuros 2015</t>
    </r>
    <r>
      <rPr>
        <b/>
        <sz val="9"/>
        <color indexed="10"/>
        <rFont val="Verdana"/>
        <family val="2"/>
      </rPr>
      <t xml:space="preserve"> </t>
    </r>
    <r>
      <rPr>
        <b/>
        <sz val="9"/>
        <rFont val="Verdana"/>
        <family val="2"/>
      </rPr>
      <t xml:space="preserve"> </t>
    </r>
  </si>
  <si>
    <r>
      <t>stocks actif d'espérance de vie année n, depuis 1950, cf tableur espérance de vie Meuros 2015</t>
    </r>
    <r>
      <rPr>
        <b/>
        <sz val="9"/>
        <color indexed="10"/>
        <rFont val="Verdana"/>
        <family val="2"/>
      </rPr>
      <t xml:space="preserve"> </t>
    </r>
  </si>
  <si>
    <r>
      <t>chiffre d'affaire pesticides annualisés GUS$ Constants 2015</t>
    </r>
    <r>
      <rPr>
        <b/>
        <sz val="9"/>
        <rFont val="Verdana"/>
        <family val="2"/>
      </rPr>
      <t xml:space="preserve"> </t>
    </r>
  </si>
  <si>
    <t>dommages solde émissions Jouy le Moutier GES en Meuros , à 60Euros la tonne; émissions JLM/France</t>
  </si>
  <si>
    <t>stocks actifs de l'ensemble des dommages UTCAF, Jouy le Moutier depuis 1950, Meuros 2015</t>
  </si>
  <si>
    <t>stocks actifs eau souterraines et glaciers, Jouy le Moutier depuis 1950, année n, MEuros 2015</t>
  </si>
  <si>
    <t>stocks actifs d'investissement avec amortissement Meuros 2015 cf tableur FBCF-France</t>
  </si>
  <si>
    <t>stocks actifs espérance de vie  depuis  1950 et investissement, 100 à 7 ans, Meuros 2015</t>
  </si>
  <si>
    <t>stocks actifs de l'ensemble des dommages UTCAF, France depuis 1950, en Geuros 2015</t>
  </si>
  <si>
    <t>Production dommages France année courante fresh ground water et fonte glaciers geuros cf ci-dessous</t>
  </si>
  <si>
    <t>dommages solde émissions France GES en Mtonnes =émissions part des 3 énergies fossiles-UTCAF</t>
  </si>
  <si>
    <t>SEI5900</t>
  </si>
  <si>
    <t>Coût marchand annuel énergies fossiles GUS$ 2015</t>
  </si>
  <si>
    <t>Monde PIBE annuel/habitant en US$ 2015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</si>
</sst>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0.000000"/>
    <numFmt numFmtId="167" formatCode="#,##0.0"/>
    <numFmt numFmtId="168" formatCode="&quot;(r) &quot;#,##0.0"/>
    <numFmt numFmtId="169" formatCode="0.0%"/>
  </numFmts>
  <fonts count="27" x14ac:knownFonts="1">
    <font>
      <sz val="10"/>
      <name val="Verdana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9"/>
      <color indexed="10"/>
      <name val="Verdana"/>
      <family val="2"/>
    </font>
    <font>
      <b/>
      <sz val="9"/>
      <color indexed="9"/>
      <name val="Verdana"/>
      <family val="2"/>
    </font>
    <font>
      <sz val="9"/>
      <color indexed="8"/>
      <name val="Calibri"/>
      <family val="2"/>
    </font>
    <font>
      <sz val="9"/>
      <name val="Arial"/>
      <family val="2"/>
    </font>
    <font>
      <i/>
      <sz val="9"/>
      <color indexed="10"/>
      <name val="Verdana"/>
      <family val="2"/>
    </font>
    <font>
      <i/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sz val="9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166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166" fontId="0" fillId="0" borderId="0" xfId="0" applyNumberFormat="1"/>
    <xf numFmtId="1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/>
    <xf numFmtId="2" fontId="0" fillId="0" borderId="0" xfId="0" applyNumberFormat="1" applyFill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/>
    <xf numFmtId="0" fontId="0" fillId="0" borderId="0" xfId="0" applyFont="1"/>
    <xf numFmtId="0" fontId="0" fillId="0" borderId="0" xfId="0" applyFont="1" applyFill="1"/>
    <xf numFmtId="0" fontId="14" fillId="0" borderId="0" xfId="0" applyFont="1"/>
    <xf numFmtId="0" fontId="14" fillId="0" borderId="0" xfId="0" applyFont="1" applyFill="1"/>
    <xf numFmtId="0" fontId="14" fillId="0" borderId="0" xfId="0" applyFont="1" applyFill="1" applyBorder="1" applyAlignment="1">
      <alignment horizontal="left"/>
    </xf>
    <xf numFmtId="0" fontId="5" fillId="0" borderId="0" xfId="0" applyFont="1" applyFill="1"/>
    <xf numFmtId="1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14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5" fillId="0" borderId="0" xfId="0" applyFont="1" applyFill="1"/>
    <xf numFmtId="0" fontId="15" fillId="0" borderId="0" xfId="0" applyFont="1"/>
    <xf numFmtId="164" fontId="0" fillId="2" borderId="0" xfId="0" applyNumberForma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3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/>
    <xf numFmtId="0" fontId="14" fillId="2" borderId="0" xfId="0" applyFont="1" applyFill="1"/>
    <xf numFmtId="1" fontId="0" fillId="2" borderId="0" xfId="0" applyNumberFormat="1" applyFill="1"/>
    <xf numFmtId="166" fontId="0" fillId="2" borderId="0" xfId="0" applyNumberFormat="1" applyFill="1"/>
    <xf numFmtId="0" fontId="2" fillId="0" borderId="0" xfId="0" applyFont="1"/>
    <xf numFmtId="0" fontId="1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4" fillId="3" borderId="0" xfId="0" applyFont="1" applyFill="1"/>
    <xf numFmtId="0" fontId="6" fillId="3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/>
    <xf numFmtId="1" fontId="0" fillId="6" borderId="0" xfId="0" applyNumberFormat="1" applyFill="1" applyAlignment="1">
      <alignment horizontal="center"/>
    </xf>
    <xf numFmtId="0" fontId="13" fillId="6" borderId="0" xfId="0" applyFont="1" applyFill="1" applyAlignment="1">
      <alignment horizontal="left"/>
    </xf>
    <xf numFmtId="0" fontId="10" fillId="6" borderId="0" xfId="0" applyFont="1" applyFill="1"/>
    <xf numFmtId="0" fontId="10" fillId="6" borderId="0" xfId="0" applyFont="1" applyFill="1" applyAlignment="1">
      <alignment horizontal="left"/>
    </xf>
    <xf numFmtId="0" fontId="6" fillId="6" borderId="0" xfId="0" applyFont="1" applyFill="1"/>
    <xf numFmtId="0" fontId="6" fillId="6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0" fontId="0" fillId="6" borderId="0" xfId="0" applyFont="1" applyFill="1"/>
    <xf numFmtId="0" fontId="0" fillId="6" borderId="0" xfId="0" applyFont="1" applyFill="1" applyAlignment="1">
      <alignment horizontal="left"/>
    </xf>
    <xf numFmtId="0" fontId="16" fillId="0" borderId="0" xfId="0" applyFont="1"/>
    <xf numFmtId="0" fontId="9" fillId="6" borderId="0" xfId="0" applyFont="1" applyFill="1"/>
    <xf numFmtId="0" fontId="9" fillId="0" borderId="0" xfId="0" applyFont="1"/>
    <xf numFmtId="0" fontId="8" fillId="0" borderId="0" xfId="0" applyFont="1" applyFill="1"/>
    <xf numFmtId="0" fontId="17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16" fillId="2" borderId="0" xfId="0" applyFont="1" applyFill="1" applyBorder="1"/>
    <xf numFmtId="0" fontId="17" fillId="2" borderId="0" xfId="0" applyFont="1" applyFill="1" applyBorder="1"/>
    <xf numFmtId="0" fontId="9" fillId="0" borderId="0" xfId="0" applyFont="1" applyFill="1" applyBorder="1"/>
    <xf numFmtId="0" fontId="17" fillId="0" borderId="0" xfId="0" applyFont="1" applyFill="1" applyBorder="1"/>
    <xf numFmtId="0" fontId="16" fillId="4" borderId="0" xfId="0" applyFont="1" applyFill="1"/>
    <xf numFmtId="0" fontId="16" fillId="0" borderId="0" xfId="0" applyFont="1" applyFill="1"/>
    <xf numFmtId="0" fontId="16" fillId="3" borderId="0" xfId="0" applyFont="1" applyFill="1"/>
    <xf numFmtId="0" fontId="8" fillId="0" borderId="0" xfId="0" applyFont="1" applyAlignment="1">
      <alignment horizontal="right"/>
    </xf>
    <xf numFmtId="0" fontId="16" fillId="2" borderId="0" xfId="0" applyFont="1" applyFill="1"/>
    <xf numFmtId="0" fontId="17" fillId="4" borderId="0" xfId="0" applyFont="1" applyFill="1"/>
    <xf numFmtId="0" fontId="16" fillId="4" borderId="0" xfId="0" applyFont="1" applyFill="1" applyBorder="1"/>
    <xf numFmtId="0" fontId="16" fillId="0" borderId="0" xfId="0" applyFont="1" applyFill="1" applyBorder="1"/>
    <xf numFmtId="0" fontId="17" fillId="0" borderId="0" xfId="0" applyFont="1" applyFill="1"/>
    <xf numFmtId="0" fontId="19" fillId="0" borderId="0" xfId="0" applyFont="1" applyFill="1"/>
    <xf numFmtId="0" fontId="16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1" fontId="9" fillId="6" borderId="0" xfId="0" applyNumberFormat="1" applyFont="1" applyFill="1" applyAlignment="1">
      <alignment horizontal="center"/>
    </xf>
    <xf numFmtId="3" fontId="9" fillId="6" borderId="0" xfId="0" applyNumberFormat="1" applyFont="1" applyFill="1" applyAlignment="1">
      <alignment horizontal="center"/>
    </xf>
    <xf numFmtId="2" fontId="9" fillId="6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1" fontId="9" fillId="0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8" fillId="0" borderId="0" xfId="0" applyNumberFormat="1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4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9" fillId="0" borderId="0" xfId="1" applyNumberFormat="1" applyFont="1" applyFill="1" applyAlignment="1">
      <alignment horizontal="center"/>
    </xf>
    <xf numFmtId="2" fontId="9" fillId="2" borderId="0" xfId="0" applyNumberFormat="1" applyFont="1" applyFill="1" applyAlignment="1">
      <alignment horizontal="center"/>
    </xf>
    <xf numFmtId="1" fontId="9" fillId="2" borderId="0" xfId="1" applyNumberFormat="1" applyFont="1" applyFill="1" applyAlignment="1">
      <alignment horizontal="center"/>
    </xf>
    <xf numFmtId="2" fontId="9" fillId="0" borderId="0" xfId="1" applyNumberFormat="1" applyFont="1" applyAlignment="1">
      <alignment horizontal="center"/>
    </xf>
    <xf numFmtId="2" fontId="9" fillId="2" borderId="0" xfId="1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9" fontId="9" fillId="0" borderId="0" xfId="0" applyNumberFormat="1" applyFont="1" applyFill="1" applyAlignment="1">
      <alignment horizontal="center"/>
    </xf>
    <xf numFmtId="9" fontId="9" fillId="0" borderId="0" xfId="1" applyFont="1" applyFill="1" applyAlignment="1">
      <alignment horizontal="center"/>
    </xf>
    <xf numFmtId="10" fontId="9" fillId="0" borderId="0" xfId="1" applyNumberFormat="1" applyFont="1" applyFill="1" applyAlignment="1">
      <alignment horizontal="center"/>
    </xf>
    <xf numFmtId="9" fontId="9" fillId="0" borderId="0" xfId="0" applyNumberFormat="1" applyFont="1" applyAlignment="1">
      <alignment horizontal="center"/>
    </xf>
    <xf numFmtId="0" fontId="20" fillId="0" borderId="0" xfId="0" applyFont="1" applyFill="1" applyAlignment="1">
      <alignment horizontal="center"/>
    </xf>
    <xf numFmtId="1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" fontId="9" fillId="0" borderId="0" xfId="0" applyNumberFormat="1" applyFont="1" applyFill="1"/>
    <xf numFmtId="0" fontId="9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9" fillId="3" borderId="0" xfId="0" applyNumberFormat="1" applyFont="1" applyFill="1" applyAlignment="1">
      <alignment horizontal="center"/>
    </xf>
    <xf numFmtId="164" fontId="9" fillId="6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2" fontId="9" fillId="0" borderId="0" xfId="0" applyNumberFormat="1" applyFont="1" applyFill="1" applyAlignment="1">
      <alignment horizontal="center" vertical="top"/>
    </xf>
    <xf numFmtId="2" fontId="9" fillId="0" borderId="0" xfId="0" applyNumberFormat="1" applyFont="1" applyAlignment="1">
      <alignment horizontal="center" vertical="top"/>
    </xf>
    <xf numFmtId="10" fontId="8" fillId="0" borderId="0" xfId="0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0" fontId="22" fillId="0" borderId="0" xfId="0" applyFont="1"/>
    <xf numFmtId="164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4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1" fontId="9" fillId="5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9" fontId="9" fillId="0" borderId="0" xfId="1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left"/>
    </xf>
    <xf numFmtId="0" fontId="24" fillId="0" borderId="0" xfId="0" applyFont="1" applyAlignment="1">
      <alignment horizontal="left"/>
    </xf>
    <xf numFmtId="1" fontId="21" fillId="0" borderId="0" xfId="0" applyNumberFormat="1" applyFont="1" applyFill="1" applyAlignment="1">
      <alignment horizontal="center"/>
    </xf>
    <xf numFmtId="164" fontId="25" fillId="0" borderId="0" xfId="0" applyNumberFormat="1" applyFont="1" applyAlignment="1">
      <alignment horizontal="right"/>
    </xf>
    <xf numFmtId="1" fontId="25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center"/>
    </xf>
    <xf numFmtId="0" fontId="24" fillId="0" borderId="0" xfId="0" applyFont="1" applyFill="1" applyAlignment="1">
      <alignment horizontal="left"/>
    </xf>
    <xf numFmtId="1" fontId="21" fillId="6" borderId="0" xfId="0" applyNumberFormat="1" applyFont="1" applyFill="1" applyAlignment="1">
      <alignment horizontal="center" vertical="center"/>
    </xf>
    <xf numFmtId="164" fontId="9" fillId="0" borderId="0" xfId="0" applyNumberFormat="1" applyFont="1"/>
    <xf numFmtId="164" fontId="9" fillId="0" borderId="0" xfId="0" applyNumberFormat="1" applyFont="1" applyFill="1"/>
    <xf numFmtId="164" fontId="16" fillId="0" borderId="0" xfId="0" applyNumberFormat="1" applyFont="1" applyFill="1"/>
    <xf numFmtId="164" fontId="17" fillId="0" borderId="0" xfId="0" applyNumberFormat="1" applyFont="1" applyFill="1"/>
    <xf numFmtId="164" fontId="17" fillId="0" borderId="0" xfId="0" applyNumberFormat="1" applyFont="1" applyFill="1" applyAlignment="1">
      <alignment horizontal="center"/>
    </xf>
    <xf numFmtId="164" fontId="16" fillId="0" borderId="0" xfId="0" applyNumberFormat="1" applyFont="1"/>
    <xf numFmtId="164" fontId="19" fillId="0" borderId="0" xfId="0" applyNumberFormat="1" applyFont="1" applyFill="1"/>
    <xf numFmtId="164" fontId="9" fillId="3" borderId="0" xfId="0" applyNumberFormat="1" applyFont="1" applyFill="1" applyAlignment="1">
      <alignment horizontal="center"/>
    </xf>
    <xf numFmtId="11" fontId="9" fillId="0" borderId="0" xfId="0" applyNumberFormat="1" applyFont="1"/>
    <xf numFmtId="11" fontId="9" fillId="0" borderId="0" xfId="0" applyNumberFormat="1" applyFont="1" applyFill="1"/>
    <xf numFmtId="0" fontId="9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419"/>
  <sheetViews>
    <sheetView tabSelected="1" topLeftCell="A157" zoomScale="150" zoomScaleNormal="176" zoomScalePageLayoutView="176" workbookViewId="0">
      <selection activeCell="B388" sqref="B388"/>
    </sheetView>
  </sheetViews>
  <sheetFormatPr baseColWidth="10" defaultRowHeight="13" x14ac:dyDescent="0.15"/>
  <cols>
    <col min="1" max="1" width="84.1640625" style="79" customWidth="1"/>
    <col min="2" max="2" width="7.83203125" style="101" customWidth="1"/>
    <col min="3" max="3" width="11.33203125" style="82" customWidth="1"/>
    <col min="4" max="4" width="9" style="79" customWidth="1"/>
    <col min="5" max="5" width="7.83203125" style="79" hidden="1" customWidth="1"/>
    <col min="6" max="6" width="7.83203125" style="79" customWidth="1"/>
    <col min="7" max="7" width="7.83203125" style="79" hidden="1" customWidth="1"/>
    <col min="8" max="8" width="7.83203125" style="79" customWidth="1"/>
    <col min="9" max="9" width="7.83203125" style="79" hidden="1" customWidth="1"/>
    <col min="10" max="11" width="7.83203125" style="79" customWidth="1"/>
    <col min="12" max="12" width="0.83203125" hidden="1" customWidth="1"/>
    <col min="13" max="13" width="13.6640625" bestFit="1" customWidth="1"/>
    <col min="15" max="15" width="31.5" customWidth="1"/>
  </cols>
  <sheetData>
    <row r="1" spans="1:17" x14ac:dyDescent="0.15">
      <c r="A1" s="77" t="s">
        <v>59</v>
      </c>
      <c r="B1" s="77"/>
      <c r="C1" s="101"/>
      <c r="D1" s="82"/>
    </row>
    <row r="2" spans="1:17" s="63" customFormat="1" x14ac:dyDescent="0.15">
      <c r="A2" s="77" t="s">
        <v>190</v>
      </c>
      <c r="B2" s="101"/>
      <c r="C2" s="82"/>
      <c r="D2" s="79"/>
      <c r="E2" s="79"/>
      <c r="F2" s="79"/>
      <c r="G2" s="79"/>
      <c r="H2" s="79"/>
      <c r="I2" s="79"/>
      <c r="J2" s="79"/>
      <c r="K2" s="79"/>
      <c r="L2" s="64"/>
      <c r="P2" s="62"/>
      <c r="Q2" s="62"/>
    </row>
    <row r="3" spans="1:17" x14ac:dyDescent="0.15">
      <c r="A3" s="77" t="s">
        <v>12</v>
      </c>
      <c r="B3" s="101">
        <v>1950</v>
      </c>
      <c r="C3" s="101">
        <v>1990</v>
      </c>
      <c r="D3" s="102">
        <v>2015</v>
      </c>
      <c r="E3" s="101">
        <v>2016</v>
      </c>
      <c r="F3" s="101">
        <v>2017</v>
      </c>
      <c r="G3" s="101">
        <v>2018</v>
      </c>
      <c r="H3" s="101">
        <v>2019</v>
      </c>
      <c r="I3" s="101">
        <v>2020</v>
      </c>
      <c r="J3" s="101">
        <v>2021</v>
      </c>
      <c r="K3" s="101">
        <v>2025</v>
      </c>
      <c r="L3" s="1"/>
      <c r="P3" s="2"/>
      <c r="Q3" s="2"/>
    </row>
    <row r="4" spans="1:17" s="67" customFormat="1" x14ac:dyDescent="0.15">
      <c r="A4" s="78" t="s">
        <v>68</v>
      </c>
      <c r="B4" s="78"/>
      <c r="C4" s="103">
        <v>22860</v>
      </c>
      <c r="D4" s="103">
        <v>75220</v>
      </c>
      <c r="E4" s="103">
        <v>74490</v>
      </c>
      <c r="F4" s="103">
        <v>81440</v>
      </c>
      <c r="G4" s="103">
        <v>86500</v>
      </c>
      <c r="H4" s="103">
        <v>87730</v>
      </c>
      <c r="I4" s="103">
        <v>85220</v>
      </c>
      <c r="J4" s="103">
        <v>96880</v>
      </c>
      <c r="K4" s="104">
        <f>H4+(2025-2019)*((H4-Q4)/8)</f>
        <v>98117.5</v>
      </c>
      <c r="L4" s="69" t="s">
        <v>70</v>
      </c>
      <c r="P4" s="65"/>
      <c r="Q4" s="65">
        <v>73880</v>
      </c>
    </row>
    <row r="5" spans="1:17" s="67" customFormat="1" x14ac:dyDescent="0.15">
      <c r="A5" s="78" t="s">
        <v>118</v>
      </c>
      <c r="B5" s="105">
        <f>B364</f>
        <v>9434.2765820896129</v>
      </c>
      <c r="C5" s="103">
        <v>35960</v>
      </c>
      <c r="D5" s="103">
        <v>75190</v>
      </c>
      <c r="E5" s="103">
        <v>77300</v>
      </c>
      <c r="F5" s="103">
        <v>79910</v>
      </c>
      <c r="G5" s="103">
        <v>82540</v>
      </c>
      <c r="H5" s="103">
        <v>84680</v>
      </c>
      <c r="I5" s="103">
        <v>82040</v>
      </c>
      <c r="J5" s="103">
        <v>86860</v>
      </c>
      <c r="K5" s="103">
        <f>H5+(2025-2019)*((H5-Q5)/8)</f>
        <v>97910</v>
      </c>
      <c r="L5" s="69" t="s">
        <v>70</v>
      </c>
      <c r="P5" s="65">
        <v>72940</v>
      </c>
      <c r="Q5" s="65">
        <v>67040</v>
      </c>
    </row>
    <row r="6" spans="1:17" s="67" customFormat="1" x14ac:dyDescent="0.15">
      <c r="A6" s="78" t="s">
        <v>119</v>
      </c>
      <c r="B6" s="105">
        <f>B5/1.258</f>
        <v>7499.4249460171804</v>
      </c>
      <c r="C6" s="104">
        <f>C5/1.258</f>
        <v>28585.055643879172</v>
      </c>
      <c r="D6" s="104">
        <f>D5/1.258</f>
        <v>59769.475357710653</v>
      </c>
      <c r="E6" s="104">
        <f t="shared" ref="E6:K6" si="0">E5/1.258</f>
        <v>61446.740858505567</v>
      </c>
      <c r="F6" s="104">
        <f t="shared" si="0"/>
        <v>63521.462639109697</v>
      </c>
      <c r="G6" s="104">
        <f t="shared" si="0"/>
        <v>65612.082670906195</v>
      </c>
      <c r="H6" s="104">
        <f t="shared" si="0"/>
        <v>67313.195548489661</v>
      </c>
      <c r="I6" s="104">
        <f t="shared" si="0"/>
        <v>65214.626391096979</v>
      </c>
      <c r="J6" s="104">
        <f t="shared" si="0"/>
        <v>69046.104928457862</v>
      </c>
      <c r="K6" s="104">
        <f t="shared" si="0"/>
        <v>77829.888712241649</v>
      </c>
      <c r="L6" s="66" t="s">
        <v>347</v>
      </c>
      <c r="P6" s="68">
        <f>P5/1.258</f>
        <v>57980.922098569157</v>
      </c>
      <c r="Q6" s="68">
        <f>Q5/1.258</f>
        <v>53290.93799682035</v>
      </c>
    </row>
    <row r="7" spans="1:17" s="67" customFormat="1" x14ac:dyDescent="0.15">
      <c r="A7" s="78" t="s">
        <v>69</v>
      </c>
      <c r="B7" s="105"/>
      <c r="C7" s="103"/>
      <c r="D7" s="103"/>
      <c r="E7" s="78"/>
      <c r="F7" s="78"/>
      <c r="G7" s="103"/>
      <c r="H7" s="103"/>
      <c r="I7" s="103"/>
      <c r="J7" s="103"/>
      <c r="K7" s="103"/>
      <c r="L7" s="66" t="s">
        <v>172</v>
      </c>
    </row>
    <row r="8" spans="1:17" s="67" customFormat="1" x14ac:dyDescent="0.15">
      <c r="A8" s="78" t="s">
        <v>193</v>
      </c>
      <c r="B8" s="105">
        <f>B365</f>
        <v>8571.4285714285725</v>
      </c>
      <c r="C8" s="103">
        <v>31300</v>
      </c>
      <c r="D8" s="103">
        <v>48100</v>
      </c>
      <c r="E8" s="103">
        <v>48800</v>
      </c>
      <c r="F8" s="103">
        <v>49500</v>
      </c>
      <c r="G8" s="103">
        <v>50700</v>
      </c>
      <c r="H8" s="103">
        <v>51100</v>
      </c>
      <c r="I8" s="103">
        <v>52590</v>
      </c>
      <c r="J8" s="103">
        <v>54590</v>
      </c>
      <c r="K8" s="103">
        <v>62700</v>
      </c>
      <c r="L8" s="70" t="s">
        <v>116</v>
      </c>
    </row>
    <row r="9" spans="1:17" s="67" customFormat="1" x14ac:dyDescent="0.15">
      <c r="A9" s="78" t="s">
        <v>117</v>
      </c>
      <c r="B9" s="105">
        <f>B366</f>
        <v>2499</v>
      </c>
      <c r="C9" s="103">
        <v>5316</v>
      </c>
      <c r="D9" s="103">
        <v>7427</v>
      </c>
      <c r="E9" s="103">
        <v>7513</v>
      </c>
      <c r="F9" s="103">
        <v>7600</v>
      </c>
      <c r="G9" s="103">
        <v>7684</v>
      </c>
      <c r="H9" s="103">
        <v>7765</v>
      </c>
      <c r="I9" s="103">
        <v>7841</v>
      </c>
      <c r="J9" s="103">
        <v>7909</v>
      </c>
      <c r="K9" s="103">
        <v>8192</v>
      </c>
      <c r="L9" s="71" t="s">
        <v>85</v>
      </c>
    </row>
    <row r="10" spans="1:17" s="67" customFormat="1" x14ac:dyDescent="0.15">
      <c r="A10" s="78" t="s">
        <v>65</v>
      </c>
      <c r="B10" s="105">
        <f>B367</f>
        <v>38.4</v>
      </c>
      <c r="C10" s="103">
        <v>48.12</v>
      </c>
      <c r="D10" s="103">
        <v>47.26</v>
      </c>
      <c r="E10" s="103">
        <v>47.23</v>
      </c>
      <c r="F10" s="103">
        <v>47.59</v>
      </c>
      <c r="G10" s="103">
        <v>47.44</v>
      </c>
      <c r="H10" s="103">
        <v>47.46</v>
      </c>
      <c r="I10" s="103">
        <v>47.39</v>
      </c>
      <c r="J10" s="106">
        <f>I10+(I10-47.61)/8</f>
        <v>47.362499999999997</v>
      </c>
      <c r="K10" s="106">
        <f>I10+(K3-I3)*(I10-47.61)/8</f>
        <v>47.252499999999998</v>
      </c>
      <c r="L10" s="76" t="s">
        <v>18</v>
      </c>
    </row>
    <row r="11" spans="1:17" x14ac:dyDescent="0.15">
      <c r="B11" s="79"/>
      <c r="C11" s="101"/>
      <c r="D11" s="82"/>
    </row>
    <row r="12" spans="1:17" x14ac:dyDescent="0.15">
      <c r="A12" s="77" t="s">
        <v>58</v>
      </c>
      <c r="B12" s="101">
        <v>1950</v>
      </c>
      <c r="C12" s="101">
        <v>1990</v>
      </c>
      <c r="D12" s="102">
        <v>2015</v>
      </c>
      <c r="E12" s="101">
        <v>2016</v>
      </c>
      <c r="F12" s="101">
        <v>2017</v>
      </c>
      <c r="G12" s="101">
        <v>2018</v>
      </c>
      <c r="H12" s="101">
        <v>2019</v>
      </c>
      <c r="I12" s="101">
        <v>2020</v>
      </c>
      <c r="J12" s="101">
        <v>2021</v>
      </c>
      <c r="K12" s="101">
        <v>2025</v>
      </c>
    </row>
    <row r="13" spans="1:17" hidden="1" x14ac:dyDescent="0.15">
      <c r="A13" s="6" t="s">
        <v>195</v>
      </c>
      <c r="B13" s="6"/>
      <c r="C13" s="101">
        <v>1990</v>
      </c>
      <c r="D13" s="102">
        <v>2015</v>
      </c>
      <c r="G13" s="101"/>
      <c r="H13" s="101">
        <v>2019</v>
      </c>
      <c r="I13" s="107" t="s">
        <v>348</v>
      </c>
      <c r="J13" s="101"/>
      <c r="K13" s="101"/>
    </row>
    <row r="14" spans="1:17" hidden="1" x14ac:dyDescent="0.15">
      <c r="A14" s="80" t="s">
        <v>271</v>
      </c>
      <c r="B14" s="80"/>
      <c r="C14" s="101"/>
      <c r="D14" s="108">
        <f>5700*D8/H8</f>
        <v>5365.3620352250491</v>
      </c>
      <c r="G14" s="101"/>
      <c r="H14" s="109">
        <f>5900*84680/87650</f>
        <v>5700.0798630918425</v>
      </c>
      <c r="I14" s="107"/>
      <c r="J14" s="101"/>
      <c r="K14" s="101"/>
    </row>
    <row r="15" spans="1:17" hidden="1" x14ac:dyDescent="0.15">
      <c r="A15" s="6" t="s">
        <v>186</v>
      </c>
      <c r="B15" s="6"/>
      <c r="C15" s="101"/>
      <c r="D15" s="102"/>
      <c r="E15" s="102"/>
      <c r="F15" s="101"/>
      <c r="G15" s="101"/>
      <c r="H15" s="107" t="s">
        <v>402</v>
      </c>
      <c r="J15" s="101"/>
      <c r="K15" s="101"/>
    </row>
    <row r="16" spans="1:17" hidden="1" x14ac:dyDescent="0.15">
      <c r="B16" s="79"/>
      <c r="C16" s="101"/>
      <c r="D16" s="102"/>
      <c r="E16" s="101"/>
      <c r="F16" s="101"/>
      <c r="G16" s="101"/>
      <c r="H16" s="101"/>
      <c r="I16" s="101"/>
      <c r="J16" s="101"/>
      <c r="K16" s="101"/>
    </row>
    <row r="17" spans="1:22" hidden="1" x14ac:dyDescent="0.15">
      <c r="A17" s="79" t="s">
        <v>239</v>
      </c>
      <c r="B17" s="79"/>
      <c r="C17" s="101"/>
      <c r="D17" s="102">
        <v>2015</v>
      </c>
      <c r="E17" s="101">
        <v>2016</v>
      </c>
      <c r="F17" s="101">
        <v>2017</v>
      </c>
      <c r="G17" s="101">
        <v>2018</v>
      </c>
      <c r="H17" s="101">
        <v>2019</v>
      </c>
      <c r="I17" s="101">
        <v>2020</v>
      </c>
      <c r="J17" s="101">
        <v>2021</v>
      </c>
      <c r="K17" s="101">
        <v>2025</v>
      </c>
    </row>
    <row r="18" spans="1:22" hidden="1" x14ac:dyDescent="0.15">
      <c r="A18" s="79" t="s">
        <v>51</v>
      </c>
      <c r="B18" s="109">
        <f>D18*B8/D8</f>
        <v>956.10847078557458</v>
      </c>
      <c r="C18" s="109">
        <f>D18*C8/D8</f>
        <v>3491.3894324853231</v>
      </c>
      <c r="D18" s="108">
        <f>D14</f>
        <v>5365.3620352250491</v>
      </c>
      <c r="E18" s="109">
        <f>D18*E8/D8</f>
        <v>5443.4442270058707</v>
      </c>
      <c r="F18" s="109">
        <f>D18*F8/D8</f>
        <v>5521.5264187866924</v>
      </c>
      <c r="G18" s="109">
        <f>D18*G8/D8</f>
        <v>5655.3816046966731</v>
      </c>
      <c r="H18" s="109">
        <f>D18*H8/D8</f>
        <v>5700</v>
      </c>
      <c r="I18" s="109">
        <f>D18*I8/D8</f>
        <v>5866.203522504893</v>
      </c>
      <c r="J18" s="109">
        <f>D18*J8/D8</f>
        <v>6089.2954990215258</v>
      </c>
      <c r="K18" s="109">
        <f>D18*K8/D8</f>
        <v>6993.9334637964776</v>
      </c>
    </row>
    <row r="19" spans="1:22" hidden="1" x14ac:dyDescent="0.15">
      <c r="A19" s="79" t="s">
        <v>184</v>
      </c>
      <c r="B19" s="79"/>
      <c r="C19" s="109"/>
      <c r="D19" s="102"/>
      <c r="E19" s="109"/>
      <c r="F19" s="109"/>
      <c r="G19" s="109"/>
      <c r="H19" s="109"/>
      <c r="I19" s="109"/>
      <c r="J19" s="109"/>
      <c r="K19" s="109"/>
    </row>
    <row r="20" spans="1:22" hidden="1" x14ac:dyDescent="0.15">
      <c r="B20" s="79"/>
      <c r="C20" s="101"/>
      <c r="D20" s="82"/>
    </row>
    <row r="21" spans="1:22" hidden="1" x14ac:dyDescent="0.15">
      <c r="A21" s="6" t="s">
        <v>269</v>
      </c>
      <c r="B21" s="6"/>
      <c r="D21" s="110" t="s">
        <v>173</v>
      </c>
      <c r="E21" s="8" t="s">
        <v>211</v>
      </c>
      <c r="F21" s="8" t="s">
        <v>212</v>
      </c>
      <c r="G21" s="6"/>
      <c r="H21" s="6" t="s">
        <v>268</v>
      </c>
      <c r="I21" s="6"/>
      <c r="J21" s="6"/>
      <c r="K21" s="6"/>
    </row>
    <row r="22" spans="1:22" hidden="1" x14ac:dyDescent="0.15">
      <c r="A22" s="6" t="s">
        <v>84</v>
      </c>
      <c r="B22" s="6"/>
      <c r="D22" s="111">
        <v>0.41</v>
      </c>
      <c r="E22" s="112">
        <v>0.46</v>
      </c>
      <c r="F22" s="112">
        <v>0.09</v>
      </c>
      <c r="G22" s="6"/>
      <c r="H22" s="113" t="s">
        <v>90</v>
      </c>
      <c r="I22" s="6"/>
      <c r="J22" s="6"/>
      <c r="K22" s="6"/>
      <c r="L22" t="s">
        <v>181</v>
      </c>
    </row>
    <row r="23" spans="1:22" s="15" customFormat="1" hidden="1" x14ac:dyDescent="0.15">
      <c r="A23" s="80" t="s">
        <v>306</v>
      </c>
      <c r="B23" s="80"/>
      <c r="C23" s="82"/>
      <c r="D23" s="114">
        <f>D22*H14/0.96</f>
        <v>2434.4091081954743</v>
      </c>
      <c r="E23" s="114">
        <f>E22*H14/0.96</f>
        <v>2731.2882677315079</v>
      </c>
      <c r="F23" s="114">
        <f>F22*H14/0.96</f>
        <v>534.38248716486032</v>
      </c>
      <c r="G23" s="80"/>
      <c r="H23" s="114">
        <f>(D23+E23+F23)</f>
        <v>5700.0798630918425</v>
      </c>
      <c r="I23" s="80" t="s">
        <v>287</v>
      </c>
      <c r="J23" s="80"/>
      <c r="K23" s="80"/>
    </row>
    <row r="24" spans="1:22" hidden="1" x14ac:dyDescent="0.15">
      <c r="A24" s="6" t="s">
        <v>288</v>
      </c>
      <c r="B24" s="6"/>
      <c r="C24" s="8"/>
      <c r="D24" s="111">
        <v>0.22</v>
      </c>
      <c r="E24" s="112">
        <v>0.56999999999999995</v>
      </c>
      <c r="F24" s="112">
        <v>0.57999999999999996</v>
      </c>
      <c r="G24" s="6"/>
      <c r="H24" s="8"/>
      <c r="I24" s="6"/>
      <c r="J24" s="6"/>
      <c r="K24" s="6"/>
      <c r="L24" t="s">
        <v>182</v>
      </c>
    </row>
    <row r="25" spans="1:22" hidden="1" x14ac:dyDescent="0.15">
      <c r="A25" s="6" t="s">
        <v>270</v>
      </c>
      <c r="B25" s="6"/>
      <c r="C25" s="8"/>
      <c r="D25" s="114">
        <f>D23/(1-D24)</f>
        <v>3121.0373181993259</v>
      </c>
      <c r="E25" s="115">
        <f>E23/(1-E24)</f>
        <v>6351.8331807709474</v>
      </c>
      <c r="F25" s="115">
        <f>F23/(1-F24)</f>
        <v>1272.3392551544291</v>
      </c>
      <c r="G25" s="6"/>
      <c r="H25" s="115">
        <f>(D25+E25+F25)</f>
        <v>10745.209754124702</v>
      </c>
      <c r="I25" s="6"/>
      <c r="J25" s="6"/>
      <c r="K25" s="6"/>
    </row>
    <row r="26" spans="1:22" hidden="1" x14ac:dyDescent="0.15">
      <c r="A26" s="6" t="s">
        <v>289</v>
      </c>
      <c r="B26" s="6"/>
      <c r="C26" s="8"/>
      <c r="D26" s="114">
        <f>D25+D23</f>
        <v>5555.4464263948003</v>
      </c>
      <c r="E26" s="115">
        <f>E25+E23</f>
        <v>9083.1214485024557</v>
      </c>
      <c r="F26" s="115">
        <f>F25+F23</f>
        <v>1806.7217423192894</v>
      </c>
      <c r="G26" s="6"/>
      <c r="H26" s="115">
        <f>(D26+E26+F26)</f>
        <v>16445.289617216546</v>
      </c>
      <c r="I26" s="6"/>
      <c r="J26" s="6"/>
      <c r="K26" s="6"/>
    </row>
    <row r="27" spans="1:22" x14ac:dyDescent="0.15">
      <c r="A27" s="79" t="s">
        <v>403</v>
      </c>
      <c r="B27" s="79"/>
      <c r="C27" s="109">
        <f t="shared" ref="C27:K27" si="1">10745*C8/51100</f>
        <v>6581.5753424657532</v>
      </c>
      <c r="D27" s="109">
        <f t="shared" si="1"/>
        <v>10114.17808219178</v>
      </c>
      <c r="E27" s="109">
        <f t="shared" si="1"/>
        <v>10261.369863013699</v>
      </c>
      <c r="F27" s="109">
        <f t="shared" si="1"/>
        <v>10408.561643835616</v>
      </c>
      <c r="G27" s="109">
        <f t="shared" si="1"/>
        <v>10660.890410958904</v>
      </c>
      <c r="H27" s="109">
        <f t="shared" si="1"/>
        <v>10745</v>
      </c>
      <c r="I27" s="109">
        <f t="shared" si="1"/>
        <v>11058.308219178081</v>
      </c>
      <c r="J27" s="109">
        <f t="shared" si="1"/>
        <v>11478.856164383562</v>
      </c>
      <c r="K27" s="109">
        <f t="shared" si="1"/>
        <v>13184.17808219178</v>
      </c>
      <c r="L27" s="56" t="s">
        <v>328</v>
      </c>
    </row>
    <row r="28" spans="1:22" s="43" customFormat="1" x14ac:dyDescent="0.15">
      <c r="A28" s="81" t="s">
        <v>275</v>
      </c>
      <c r="B28" s="42">
        <f>B18</f>
        <v>956.10847078557458</v>
      </c>
      <c r="C28" s="42">
        <f>B18+40*B18+(C18-B18)*40/2</f>
        <v>89906.066536203522</v>
      </c>
      <c r="D28" s="42">
        <f>C28+25*C18+(D18-C18)*25/2</f>
        <v>200615.45988258318</v>
      </c>
      <c r="E28" s="42">
        <f t="shared" ref="E28:J28" si="2">D28+E18</f>
        <v>206058.90410958906</v>
      </c>
      <c r="F28" s="42">
        <f t="shared" si="2"/>
        <v>211580.43052837576</v>
      </c>
      <c r="G28" s="42">
        <f t="shared" si="2"/>
        <v>217235.81213307244</v>
      </c>
      <c r="H28" s="42">
        <f t="shared" si="2"/>
        <v>222935.81213307244</v>
      </c>
      <c r="I28" s="42">
        <f t="shared" si="2"/>
        <v>228802.01565557733</v>
      </c>
      <c r="J28" s="42">
        <f t="shared" si="2"/>
        <v>234891.31115459886</v>
      </c>
      <c r="K28" s="42">
        <f>J28+4*J18+(K18-J18)*4/2</f>
        <v>261057.7690802349</v>
      </c>
    </row>
    <row r="29" spans="1:22" x14ac:dyDescent="0.15">
      <c r="B29" s="79"/>
      <c r="C29" s="101"/>
      <c r="D29" s="82"/>
    </row>
    <row r="30" spans="1:22" s="15" customFormat="1" x14ac:dyDescent="0.15">
      <c r="A30" s="82" t="s">
        <v>276</v>
      </c>
      <c r="B30" s="108">
        <f>C30*B365/C8</f>
        <v>522.77498858968511</v>
      </c>
      <c r="C30" s="102">
        <v>1909</v>
      </c>
      <c r="D30" s="102">
        <v>2882</v>
      </c>
      <c r="E30" s="102">
        <v>4645</v>
      </c>
      <c r="F30" s="102">
        <v>4470</v>
      </c>
      <c r="G30" s="102">
        <v>5084</v>
      </c>
      <c r="H30" s="102">
        <v>6015</v>
      </c>
      <c r="I30" s="108">
        <f>H30*K8/H8</f>
        <v>7380.4403131115459</v>
      </c>
      <c r="J30" s="108">
        <f>I30*K8/H8</f>
        <v>9055.8435935830512</v>
      </c>
      <c r="K30" s="108">
        <f>J30*K8/H8</f>
        <v>11111.573254748677</v>
      </c>
      <c r="L30" s="39" t="s">
        <v>213</v>
      </c>
      <c r="T30" s="16"/>
      <c r="U30" s="16"/>
      <c r="V30" s="16"/>
    </row>
    <row r="31" spans="1:22" s="15" customFormat="1" x14ac:dyDescent="0.15">
      <c r="A31" s="82" t="s">
        <v>277</v>
      </c>
      <c r="B31" s="108">
        <f>(B30*60*(75190/87730)*(B5/D5)/1000)</f>
        <v>3.3730791058159113</v>
      </c>
      <c r="C31" s="108">
        <f>(C30*60*(75190/87730)*(C5/E5)/1000)</f>
        <v>45.66771934411841</v>
      </c>
      <c r="D31" s="108">
        <f>(C30+25*C30+(D30-C30)*25/2)*(60/1000)</f>
        <v>3707.79</v>
      </c>
      <c r="E31" s="108">
        <f t="shared" ref="E31:J31" si="3">D31+E30*60/1000</f>
        <v>3986.49</v>
      </c>
      <c r="F31" s="108">
        <f t="shared" si="3"/>
        <v>4254.6899999999996</v>
      </c>
      <c r="G31" s="108">
        <f t="shared" si="3"/>
        <v>4559.7299999999996</v>
      </c>
      <c r="H31" s="108">
        <f>G31+H30*60/1000</f>
        <v>4920.6299999999992</v>
      </c>
      <c r="I31" s="108">
        <f t="shared" si="3"/>
        <v>5363.4564187866918</v>
      </c>
      <c r="J31" s="108">
        <f t="shared" si="3"/>
        <v>5906.8070344016751</v>
      </c>
      <c r="K31" s="108">
        <f>J31+((K30-J30)*(4/2))*(60/1000)</f>
        <v>6153.4945937415505</v>
      </c>
      <c r="L31" s="31" t="s">
        <v>77</v>
      </c>
      <c r="T31" s="16"/>
      <c r="U31" s="16"/>
      <c r="V31" s="16"/>
    </row>
    <row r="32" spans="1:22" s="43" customFormat="1" x14ac:dyDescent="0.15">
      <c r="A32" s="81" t="s">
        <v>368</v>
      </c>
      <c r="B32" s="42">
        <f>B31</f>
        <v>3.3730791058159113</v>
      </c>
      <c r="C32" s="42">
        <f>B32+40*B32+(C31-B31)*40/2</f>
        <v>984.18904810450226</v>
      </c>
      <c r="D32" s="42">
        <f>C32+D31</f>
        <v>4691.979048104502</v>
      </c>
      <c r="E32" s="42">
        <f t="shared" ref="E32:I32" si="4">D32+E31</f>
        <v>8678.4690481045018</v>
      </c>
      <c r="F32" s="42">
        <f t="shared" si="4"/>
        <v>12933.159048104502</v>
      </c>
      <c r="G32" s="42">
        <f t="shared" si="4"/>
        <v>17492.889048104502</v>
      </c>
      <c r="H32" s="42">
        <f t="shared" si="4"/>
        <v>22413.519048104499</v>
      </c>
      <c r="I32" s="42">
        <f t="shared" si="4"/>
        <v>27776.975466891192</v>
      </c>
      <c r="J32" s="42">
        <f>I32+J31</f>
        <v>33683.782501292866</v>
      </c>
      <c r="K32" s="42">
        <f>J32+4*J31+(K31-J31)*4/2</f>
        <v>57804.385757579315</v>
      </c>
      <c r="T32" s="44"/>
      <c r="U32" s="44"/>
      <c r="V32" s="44"/>
    </row>
    <row r="33" spans="1:22" x14ac:dyDescent="0.15">
      <c r="B33" s="79"/>
      <c r="C33" s="101"/>
      <c r="D33" s="82"/>
    </row>
    <row r="34" spans="1:22" x14ac:dyDescent="0.15">
      <c r="A34" s="82" t="s">
        <v>178</v>
      </c>
      <c r="B34" s="116">
        <f>C34*B5/C5</f>
        <v>0.47171382910448073</v>
      </c>
      <c r="C34" s="11">
        <v>1.798</v>
      </c>
      <c r="D34" s="117">
        <v>3.258</v>
      </c>
      <c r="E34" s="11">
        <v>3.383</v>
      </c>
      <c r="F34" s="11">
        <v>3.32</v>
      </c>
      <c r="G34" s="11">
        <v>3.2949999999999999</v>
      </c>
      <c r="H34" s="11">
        <v>3.3849999999999998</v>
      </c>
      <c r="I34" s="11">
        <v>3.4020000000000001</v>
      </c>
      <c r="J34" s="11">
        <v>3.5350000000000001</v>
      </c>
      <c r="K34" s="11">
        <f>J34*K5/J5</f>
        <v>3.984709302325582</v>
      </c>
      <c r="L34" s="40" t="s">
        <v>203</v>
      </c>
    </row>
    <row r="35" spans="1:22" s="15" customFormat="1" x14ac:dyDescent="0.15">
      <c r="A35" s="82" t="s">
        <v>355</v>
      </c>
      <c r="B35" s="118">
        <f>C35*B5/C5</f>
        <v>2.5205887157868645</v>
      </c>
      <c r="C35" s="118">
        <f t="shared" ref="C35:K35" si="5">B256</f>
        <v>9.6075591415001274</v>
      </c>
      <c r="D35" s="118">
        <f t="shared" si="5"/>
        <v>50.242296208411119</v>
      </c>
      <c r="E35" s="118">
        <f t="shared" si="5"/>
        <v>58.876055040945104</v>
      </c>
      <c r="F35" s="118">
        <f t="shared" si="5"/>
        <v>59.001097031769206</v>
      </c>
      <c r="G35" s="118">
        <f t="shared" si="5"/>
        <v>59.126139022593307</v>
      </c>
      <c r="H35" s="118">
        <f t="shared" si="5"/>
        <v>60.659091984894616</v>
      </c>
      <c r="I35" s="118">
        <f t="shared" si="5"/>
        <v>58.767972442616376</v>
      </c>
      <c r="J35" s="118">
        <f t="shared" si="5"/>
        <v>62.220698273594088</v>
      </c>
      <c r="K35" s="118">
        <f t="shared" si="5"/>
        <v>70.136179691084479</v>
      </c>
      <c r="L35" s="22" t="s">
        <v>71</v>
      </c>
      <c r="T35" s="16"/>
      <c r="U35" s="16"/>
      <c r="V35" s="16"/>
    </row>
    <row r="36" spans="1:22" s="31" customFormat="1" x14ac:dyDescent="0.15">
      <c r="A36" s="82" t="s">
        <v>356</v>
      </c>
      <c r="B36" s="118">
        <f t="shared" ref="B36:K36" si="6">0.288*B35</f>
        <v>0.72592955014661698</v>
      </c>
      <c r="C36" s="119">
        <f>0.288*C35</f>
        <v>2.7669770327520364</v>
      </c>
      <c r="D36" s="119">
        <f>0.288*D35</f>
        <v>14.469781308022402</v>
      </c>
      <c r="E36" s="119">
        <f t="shared" si="6"/>
        <v>16.956303851792189</v>
      </c>
      <c r="F36" s="119">
        <f t="shared" si="6"/>
        <v>16.992315945149532</v>
      </c>
      <c r="G36" s="119">
        <f t="shared" si="6"/>
        <v>17.028328038506871</v>
      </c>
      <c r="H36" s="119">
        <f t="shared" si="6"/>
        <v>17.469818491649647</v>
      </c>
      <c r="I36" s="119">
        <f t="shared" si="6"/>
        <v>16.925176063473515</v>
      </c>
      <c r="J36" s="119">
        <f t="shared" si="6"/>
        <v>17.919561102795097</v>
      </c>
      <c r="K36" s="119">
        <f t="shared" si="6"/>
        <v>20.199219751032327</v>
      </c>
      <c r="T36" s="37"/>
      <c r="U36" s="37"/>
      <c r="V36" s="37"/>
    </row>
    <row r="37" spans="1:22" s="43" customFormat="1" x14ac:dyDescent="0.15">
      <c r="A37" s="81" t="s">
        <v>319</v>
      </c>
      <c r="B37" s="120">
        <f>B36</f>
        <v>0.72592955014661698</v>
      </c>
      <c r="C37" s="42">
        <f>B37+40*B36+(C36-B36)*40/2</f>
        <v>70.584061208119692</v>
      </c>
      <c r="D37" s="121">
        <f>(C37+25*C36+(D36-C36)*25/2 )</f>
        <v>286.04354046780014</v>
      </c>
      <c r="E37" s="121">
        <f>D37+E36</f>
        <v>302.99984431959234</v>
      </c>
      <c r="F37" s="121">
        <f>E37+F36</f>
        <v>319.99216026474187</v>
      </c>
      <c r="G37" s="121">
        <f t="shared" ref="G37:I37" si="7">F37+G36</f>
        <v>337.02048830324873</v>
      </c>
      <c r="H37" s="121">
        <f t="shared" si="7"/>
        <v>354.4903067948984</v>
      </c>
      <c r="I37" s="121">
        <f t="shared" si="7"/>
        <v>371.41548285837189</v>
      </c>
      <c r="J37" s="121">
        <f>I37+J36</f>
        <v>389.335043961167</v>
      </c>
      <c r="K37" s="121">
        <f>J37+4*J36+((K36-J36)*4/2)</f>
        <v>465.57260566882189</v>
      </c>
      <c r="L37" s="45" t="s">
        <v>112</v>
      </c>
      <c r="T37" s="44"/>
      <c r="U37" s="44"/>
      <c r="V37" s="44"/>
    </row>
    <row r="38" spans="1:22" x14ac:dyDescent="0.15">
      <c r="B38" s="118"/>
      <c r="C38" s="101"/>
      <c r="D38" s="82"/>
    </row>
    <row r="39" spans="1:22" s="15" customFormat="1" x14ac:dyDescent="0.15">
      <c r="A39" s="82" t="s">
        <v>357</v>
      </c>
      <c r="B39" s="118">
        <f>B40/0.288</f>
        <v>8.0943024512340642</v>
      </c>
      <c r="C39" s="119">
        <f>C278</f>
        <v>30.852510376784721</v>
      </c>
      <c r="D39" s="119">
        <f>D278*D5/D4</f>
        <v>75.988247507843667</v>
      </c>
      <c r="E39" s="119">
        <f>E278*D5/D4</f>
        <v>56.832882292209526</v>
      </c>
      <c r="F39" s="119">
        <f>F278*F5/F4</f>
        <v>57.964646583865417</v>
      </c>
      <c r="G39" s="119">
        <f>G278*G5/G4</f>
        <v>63.727228423352607</v>
      </c>
      <c r="H39" s="119">
        <f>H278*H5/H4</f>
        <v>58.220566549185001</v>
      </c>
      <c r="I39" s="119">
        <f>I278</f>
        <v>59.368775999999997</v>
      </c>
      <c r="J39" s="119">
        <f>J278</f>
        <v>107.26729800000001</v>
      </c>
      <c r="K39" s="119">
        <f>J39*(K8/J8)*(K5/K4)</f>
        <v>122.94259174857628</v>
      </c>
      <c r="L39" s="22" t="s">
        <v>115</v>
      </c>
      <c r="T39" s="16"/>
      <c r="U39" s="16"/>
      <c r="V39" s="16"/>
    </row>
    <row r="40" spans="1:22" x14ac:dyDescent="0.15">
      <c r="A40" s="79" t="s">
        <v>73</v>
      </c>
      <c r="B40" s="116">
        <f>C40*B34/C34</f>
        <v>2.3311591059554102</v>
      </c>
      <c r="C40" s="122">
        <f>0.288*C39</f>
        <v>8.8855229885139995</v>
      </c>
      <c r="D40" s="119">
        <f>0.288*D39</f>
        <v>21.884615282258974</v>
      </c>
      <c r="E40" s="122">
        <f>0.288*E39</f>
        <v>16.367870100156342</v>
      </c>
      <c r="F40" s="122">
        <f t="shared" ref="F40:J40" si="8">0.288*F39</f>
        <v>16.69381821615324</v>
      </c>
      <c r="G40" s="122">
        <f t="shared" si="8"/>
        <v>18.353441785925551</v>
      </c>
      <c r="H40" s="122">
        <f t="shared" si="8"/>
        <v>16.767523166165279</v>
      </c>
      <c r="I40" s="122">
        <f t="shared" si="8"/>
        <v>17.098207487999996</v>
      </c>
      <c r="J40" s="122">
        <f t="shared" si="8"/>
        <v>30.892981824</v>
      </c>
      <c r="K40" s="122">
        <f>0.288*K39</f>
        <v>35.407466423589966</v>
      </c>
      <c r="L40" s="21"/>
      <c r="T40" s="2"/>
      <c r="U40" s="2"/>
      <c r="V40" s="2"/>
    </row>
    <row r="41" spans="1:22" s="46" customFormat="1" x14ac:dyDescent="0.15">
      <c r="A41" s="81" t="s">
        <v>320</v>
      </c>
      <c r="B41" s="120">
        <f>B40</f>
        <v>2.3311591059554102</v>
      </c>
      <c r="C41" s="123">
        <f>B41+40*B40+(C40-B40)*40/2</f>
        <v>226.6648009953436</v>
      </c>
      <c r="D41" s="123">
        <f>(C41+25*C40+(D40-C40)*25/2)</f>
        <v>611.29152938000584</v>
      </c>
      <c r="E41" s="123">
        <f>D41+E40</f>
        <v>627.65939948016216</v>
      </c>
      <c r="F41" s="123">
        <f t="shared" ref="F41:H41" si="9">E41+F40</f>
        <v>644.35321769631537</v>
      </c>
      <c r="G41" s="123">
        <f>F41+G40</f>
        <v>662.70665948224087</v>
      </c>
      <c r="H41" s="123">
        <f t="shared" si="9"/>
        <v>679.4741826484061</v>
      </c>
      <c r="I41" s="123">
        <f>H41+I40</f>
        <v>696.57239013640606</v>
      </c>
      <c r="J41" s="123">
        <f t="shared" ref="J41" si="10">I41+J40</f>
        <v>727.46537196040606</v>
      </c>
      <c r="K41" s="124">
        <f>J41+4*J40+(K40-J40)*4/2</f>
        <v>860.06626845558606</v>
      </c>
      <c r="T41" s="47"/>
      <c r="U41" s="47"/>
      <c r="V41" s="47"/>
    </row>
    <row r="42" spans="1:22" x14ac:dyDescent="0.15">
      <c r="C42" s="101"/>
      <c r="D42" s="82"/>
    </row>
    <row r="43" spans="1:22" s="15" customFormat="1" x14ac:dyDescent="0.15">
      <c r="A43" s="82" t="s">
        <v>279</v>
      </c>
      <c r="B43" s="108">
        <f>C43*B5/C5</f>
        <v>7229.9705737185077</v>
      </c>
      <c r="C43" s="108">
        <f>28539*L348/D351</f>
        <v>27557.994465043761</v>
      </c>
      <c r="D43" s="108">
        <v>64557</v>
      </c>
      <c r="E43" s="108">
        <v>65275</v>
      </c>
      <c r="F43" s="108">
        <v>67415</v>
      </c>
      <c r="G43" s="108">
        <v>68827</v>
      </c>
      <c r="H43" s="108">
        <v>70468</v>
      </c>
      <c r="I43" s="108">
        <v>71546</v>
      </c>
      <c r="J43" s="108">
        <f>I43*J5/I5</f>
        <v>75749.45831301804</v>
      </c>
      <c r="K43" s="108">
        <f>I43*K5/I5</f>
        <v>85386.017308629933</v>
      </c>
      <c r="L43" s="22" t="s">
        <v>88</v>
      </c>
      <c r="T43" s="16"/>
      <c r="U43" s="16"/>
      <c r="V43" s="16"/>
    </row>
    <row r="44" spans="1:22" x14ac:dyDescent="0.15">
      <c r="A44" s="79" t="s">
        <v>66</v>
      </c>
      <c r="B44" s="79"/>
      <c r="C44" s="109"/>
      <c r="D44" s="108"/>
      <c r="E44" s="109"/>
      <c r="F44" s="109"/>
      <c r="G44" s="109"/>
      <c r="H44" s="109"/>
      <c r="I44" s="109">
        <v>103718</v>
      </c>
      <c r="J44" s="109">
        <v>116431</v>
      </c>
      <c r="K44" s="109">
        <f>J44+(K43-J43)*4/2</f>
        <v>135704.11799122379</v>
      </c>
      <c r="L44" s="21" t="s">
        <v>210</v>
      </c>
      <c r="O44" s="5">
        <f>(I44+J44)/(I43+J43)</f>
        <v>1.4946082012397197</v>
      </c>
      <c r="T44" s="2"/>
      <c r="U44" s="2"/>
      <c r="V44" s="2"/>
    </row>
    <row r="45" spans="1:22" s="15" customFormat="1" x14ac:dyDescent="0.15">
      <c r="A45" s="82" t="s">
        <v>334</v>
      </c>
      <c r="B45" s="118">
        <f t="shared" ref="B45:K45" si="11">((B43/100000)/B10)*B5</f>
        <v>17.762901581466021</v>
      </c>
      <c r="C45" s="118">
        <f t="shared" si="11"/>
        <v>205.94045739047667</v>
      </c>
      <c r="D45" s="118">
        <f t="shared" si="11"/>
        <v>1027.0928544223445</v>
      </c>
      <c r="E45" s="118">
        <f t="shared" si="11"/>
        <v>1068.3373914884608</v>
      </c>
      <c r="F45" s="118">
        <f t="shared" si="11"/>
        <v>1131.9883694053372</v>
      </c>
      <c r="G45" s="118">
        <f t="shared" si="11"/>
        <v>1197.5085539629006</v>
      </c>
      <c r="H45" s="118">
        <f t="shared" si="11"/>
        <v>1257.3177918246945</v>
      </c>
      <c r="I45" s="118">
        <f t="shared" si="11"/>
        <v>1238.5806794682421</v>
      </c>
      <c r="J45" s="118">
        <f t="shared" si="11"/>
        <v>1389.1998836777509</v>
      </c>
      <c r="K45" s="118">
        <f t="shared" si="11"/>
        <v>1769.2492364822936</v>
      </c>
      <c r="L45" s="22" t="s">
        <v>273</v>
      </c>
      <c r="T45" s="16"/>
      <c r="U45" s="16"/>
      <c r="V45" s="16"/>
    </row>
    <row r="46" spans="1:22" s="43" customFormat="1" x14ac:dyDescent="0.15">
      <c r="A46" s="83" t="s">
        <v>385</v>
      </c>
      <c r="B46" s="42">
        <f>B45</f>
        <v>17.762901581466021</v>
      </c>
      <c r="C46" s="42">
        <f>B46+40*B45+(C45-B45)*40/2</f>
        <v>4491.83008102032</v>
      </c>
      <c r="D46" s="42">
        <f>C46+25*C45+(D45-C45)*25/2</f>
        <v>19904.746478680587</v>
      </c>
      <c r="E46" s="42">
        <f>D46+E45</f>
        <v>20973.083870169048</v>
      </c>
      <c r="F46" s="42">
        <f t="shared" ref="F46:J46" si="12">E46+F45</f>
        <v>22105.072239574387</v>
      </c>
      <c r="G46" s="42">
        <f t="shared" si="12"/>
        <v>23302.580793537287</v>
      </c>
      <c r="H46" s="42">
        <f t="shared" si="12"/>
        <v>24559.898585361982</v>
      </c>
      <c r="I46" s="42">
        <f t="shared" si="12"/>
        <v>25798.479264830225</v>
      </c>
      <c r="J46" s="42">
        <f t="shared" si="12"/>
        <v>27187.679148507974</v>
      </c>
      <c r="K46" s="42">
        <f>J46+4*J45+(K45-J45)*4/2</f>
        <v>33504.577388828067</v>
      </c>
    </row>
    <row r="47" spans="1:22" x14ac:dyDescent="0.15">
      <c r="B47" s="79"/>
      <c r="C47" s="101"/>
      <c r="D47" s="82"/>
    </row>
    <row r="48" spans="1:22" x14ac:dyDescent="0.15">
      <c r="A48" s="79" t="s">
        <v>75</v>
      </c>
      <c r="B48" s="79"/>
      <c r="C48" s="109">
        <f>D48*C5/D5</f>
        <v>153.99813805027264</v>
      </c>
      <c r="D48" s="102">
        <v>322</v>
      </c>
      <c r="E48" s="101">
        <v>335</v>
      </c>
      <c r="F48" s="101">
        <v>348</v>
      </c>
      <c r="G48" s="101">
        <v>359</v>
      </c>
      <c r="H48" s="101">
        <v>368</v>
      </c>
      <c r="I48" s="101">
        <v>376</v>
      </c>
      <c r="J48" s="101">
        <v>391</v>
      </c>
      <c r="K48" s="109">
        <f>J48*K5/J5</f>
        <v>440.74153810729911</v>
      </c>
      <c r="L48" s="21" t="s">
        <v>67</v>
      </c>
      <c r="T48" s="2"/>
      <c r="U48" s="2"/>
      <c r="V48" s="2"/>
    </row>
    <row r="49" spans="1:22" x14ac:dyDescent="0.15">
      <c r="A49" s="79" t="s">
        <v>304</v>
      </c>
      <c r="B49" s="79"/>
      <c r="C49" s="116">
        <v>120</v>
      </c>
      <c r="D49" s="118">
        <v>381</v>
      </c>
      <c r="E49" s="116">
        <v>400</v>
      </c>
      <c r="F49" s="116">
        <v>420</v>
      </c>
      <c r="G49" s="116">
        <v>441</v>
      </c>
      <c r="H49" s="116">
        <v>460</v>
      </c>
      <c r="I49" s="116">
        <f>H49*I5/H5</f>
        <v>445.65895134624469</v>
      </c>
      <c r="J49" s="116">
        <f>H49*J5/H5</f>
        <v>471.84222957014646</v>
      </c>
      <c r="K49" s="116">
        <f>H49*K5/H5</f>
        <v>531.86820973075112</v>
      </c>
      <c r="L49" s="28" t="s">
        <v>94</v>
      </c>
      <c r="T49" s="2"/>
      <c r="U49" s="2"/>
      <c r="V49" s="2"/>
    </row>
    <row r="50" spans="1:22" x14ac:dyDescent="0.15">
      <c r="A50" s="79" t="s">
        <v>74</v>
      </c>
      <c r="B50" s="79"/>
      <c r="C50" s="116">
        <f>(237.5/78.4)*C5/C4</f>
        <v>4.7653083543128538</v>
      </c>
      <c r="D50" s="118">
        <f>(874.7/281)*D5/D4</f>
        <v>3.1115699050282872</v>
      </c>
      <c r="E50" s="116">
        <f>857.3/271*E5/E4</f>
        <v>3.2828047450832942</v>
      </c>
      <c r="F50" s="116">
        <f>939.7/305*F5/F4</f>
        <v>3.0231016699410609</v>
      </c>
      <c r="G50" s="116">
        <f>1015.6/322*G5/G4</f>
        <v>3.0096443471080314</v>
      </c>
      <c r="H50" s="118">
        <f>978.2/316*H5/H4</f>
        <v>2.9879497941757434</v>
      </c>
      <c r="I50" s="116">
        <f>932.7/322*I5/I4</f>
        <v>2.7884972908992585</v>
      </c>
      <c r="J50" s="116">
        <f>1184/369*J5/J4</f>
        <v>2.8768090158193078</v>
      </c>
      <c r="K50" s="116">
        <f>J50*(K5/J5)</f>
        <v>3.242785755685798</v>
      </c>
      <c r="L50" s="21" t="s">
        <v>256</v>
      </c>
      <c r="N50" t="s">
        <v>305</v>
      </c>
      <c r="T50" s="2"/>
      <c r="U50" s="2"/>
      <c r="V50" s="2"/>
    </row>
    <row r="51" spans="1:22" s="15" customFormat="1" x14ac:dyDescent="0.15">
      <c r="A51" s="82" t="s">
        <v>329</v>
      </c>
      <c r="B51" s="125"/>
      <c r="C51" s="126">
        <f>(58-1.44*(C12-2014))/100</f>
        <v>0.92559999999999998</v>
      </c>
      <c r="D51" s="126">
        <f t="shared" ref="D51:K51" si="13">(58-1.44*(D12-2014))/100</f>
        <v>0.56559999999999999</v>
      </c>
      <c r="E51" s="126">
        <f t="shared" si="13"/>
        <v>0.55120000000000002</v>
      </c>
      <c r="F51" s="126">
        <f t="shared" si="13"/>
        <v>0.53679999999999994</v>
      </c>
      <c r="G51" s="126">
        <f t="shared" si="13"/>
        <v>0.52239999999999998</v>
      </c>
      <c r="H51" s="126">
        <f t="shared" si="13"/>
        <v>0.50800000000000001</v>
      </c>
      <c r="I51" s="126">
        <f t="shared" si="13"/>
        <v>0.49359999999999998</v>
      </c>
      <c r="J51" s="126">
        <f t="shared" si="13"/>
        <v>0.47920000000000001</v>
      </c>
      <c r="K51" s="126">
        <f t="shared" si="13"/>
        <v>0.42159999999999997</v>
      </c>
      <c r="L51" s="29" t="s">
        <v>10</v>
      </c>
      <c r="T51" s="16"/>
      <c r="U51" s="16"/>
      <c r="V51" s="16"/>
    </row>
    <row r="52" spans="1:22" s="15" customFormat="1" x14ac:dyDescent="0.15">
      <c r="A52" s="82" t="s">
        <v>330</v>
      </c>
      <c r="B52" s="127"/>
      <c r="C52" s="126">
        <f t="shared" ref="C52:K52" si="14">(1-C51)*(0.25*C6/86500)</f>
        <v>6.1466131211115925E-3</v>
      </c>
      <c r="D52" s="126">
        <f t="shared" si="14"/>
        <v>7.5040058079160435E-2</v>
      </c>
      <c r="E52" s="126">
        <f t="shared" si="14"/>
        <v>7.9703171379471957E-2</v>
      </c>
      <c r="F52" s="126">
        <f t="shared" si="14"/>
        <v>8.5037981197790796E-2</v>
      </c>
      <c r="G52" s="126">
        <f t="shared" si="14"/>
        <v>9.0567429721458953E-2</v>
      </c>
      <c r="H52" s="126">
        <f t="shared" si="14"/>
        <v>9.5717029508256973E-2</v>
      </c>
      <c r="I52" s="126">
        <f t="shared" si="14"/>
        <v>9.5447071689166205E-2</v>
      </c>
      <c r="J52" s="126">
        <f t="shared" si="14"/>
        <v>0.103928356782488</v>
      </c>
      <c r="K52" s="126">
        <f t="shared" si="14"/>
        <v>0.13010638043688025</v>
      </c>
      <c r="L52" s="29"/>
      <c r="T52" s="16"/>
      <c r="U52" s="16"/>
      <c r="V52" s="16"/>
    </row>
    <row r="53" spans="1:22" s="15" customFormat="1" x14ac:dyDescent="0.15">
      <c r="A53" s="82" t="s">
        <v>113</v>
      </c>
      <c r="B53" s="108">
        <f>(C53*B5/C5)</f>
        <v>139.78449384640521</v>
      </c>
      <c r="C53" s="108">
        <f>(C49*C50*(C51+C52))</f>
        <v>532.80719035304878</v>
      </c>
      <c r="D53" s="108">
        <f>(D49*D50*(D51+D52))</f>
        <v>759.48399970105686</v>
      </c>
      <c r="E53" s="108">
        <f>(E49*E50*(E51+E52))</f>
        <v>828.45276987705165</v>
      </c>
      <c r="F53" s="108">
        <f t="shared" ref="F53:G53" si="15">(F49*F50*(F51+F52))</f>
        <v>789.54936454456413</v>
      </c>
      <c r="G53" s="108">
        <f t="shared" si="15"/>
        <v>813.56295628173496</v>
      </c>
      <c r="H53" s="108">
        <f>(H49*H50*(H51+H52))</f>
        <v>829.78304006741041</v>
      </c>
      <c r="I53" s="108">
        <f>(I49*I50*(I51+I52))</f>
        <v>732.01985740503267</v>
      </c>
      <c r="J53" s="108">
        <f t="shared" ref="J53" si="16">(J49*J50*(J51+J52))</f>
        <v>791.53841987578119</v>
      </c>
      <c r="K53" s="108">
        <f t="shared" ref="K53" si="17">(K49*K50*(K51+K52))</f>
        <v>951.5471134024491</v>
      </c>
      <c r="L53" s="22"/>
      <c r="T53" s="16"/>
      <c r="U53" s="16"/>
      <c r="V53" s="16"/>
    </row>
    <row r="54" spans="1:22" s="43" customFormat="1" x14ac:dyDescent="0.15">
      <c r="A54" s="81" t="s">
        <v>377</v>
      </c>
      <c r="B54" s="42">
        <f>B53</f>
        <v>139.78449384640521</v>
      </c>
      <c r="C54" s="42">
        <f>B54+ 40*B53+(C53-B53)*40/2</f>
        <v>13591.618177835484</v>
      </c>
      <c r="D54" s="42">
        <f>B54+25*C53+(D53-C53)*25/2</f>
        <v>16293.424369522727</v>
      </c>
      <c r="E54" s="42">
        <f>D54+E53</f>
        <v>17121.877139399778</v>
      </c>
      <c r="F54" s="42">
        <f t="shared" ref="F54:I54" si="18">E54+F53</f>
        <v>17911.426503944342</v>
      </c>
      <c r="G54" s="42">
        <f t="shared" si="18"/>
        <v>18724.989460226076</v>
      </c>
      <c r="H54" s="42">
        <f t="shared" si="18"/>
        <v>19554.772500293486</v>
      </c>
      <c r="I54" s="42">
        <f t="shared" si="18"/>
        <v>20286.792357698519</v>
      </c>
      <c r="J54" s="42">
        <f>I54+J53</f>
        <v>21078.330777574301</v>
      </c>
      <c r="K54" s="42">
        <f>J54+4*J53+(K53-J53)*4/2</f>
        <v>24564.501844130762</v>
      </c>
      <c r="L54" s="45"/>
      <c r="T54" s="44"/>
      <c r="U54" s="44"/>
      <c r="V54" s="44"/>
    </row>
    <row r="55" spans="1:22" x14ac:dyDescent="0.15">
      <c r="B55" s="79"/>
      <c r="C55" s="128"/>
      <c r="D55" s="82"/>
    </row>
    <row r="56" spans="1:22" x14ac:dyDescent="0.15">
      <c r="A56" s="79" t="s">
        <v>322</v>
      </c>
      <c r="B56" s="79"/>
      <c r="C56" s="109"/>
      <c r="D56" s="108"/>
      <c r="E56" s="109"/>
      <c r="F56" s="109"/>
      <c r="G56" s="109"/>
      <c r="H56" s="109"/>
      <c r="I56" s="109"/>
      <c r="J56" s="109"/>
      <c r="K56" s="109"/>
      <c r="L56" s="9"/>
      <c r="T56" s="2"/>
      <c r="U56" s="2"/>
      <c r="V56" s="2"/>
    </row>
    <row r="57" spans="1:22" x14ac:dyDescent="0.15">
      <c r="A57" s="79" t="s">
        <v>196</v>
      </c>
      <c r="B57" s="79"/>
      <c r="C57" s="109">
        <f>(D57*C5/D5)</f>
        <v>25250.912089373585</v>
      </c>
      <c r="D57" s="129">
        <v>52798</v>
      </c>
      <c r="E57" s="130">
        <v>53202</v>
      </c>
      <c r="F57" s="131">
        <v>53888</v>
      </c>
      <c r="G57" s="131">
        <v>53888</v>
      </c>
      <c r="H57" s="131">
        <v>54534</v>
      </c>
      <c r="I57" s="130">
        <v>54534</v>
      </c>
      <c r="J57" s="109">
        <f>I57*((E57+F57+G57+H57)/4)/E57</f>
        <v>55226.924777264016</v>
      </c>
      <c r="K57" s="109">
        <f>I57*(1+(0.013*5/2))</f>
        <v>56306.354999999996</v>
      </c>
      <c r="L57" s="9" t="s">
        <v>93</v>
      </c>
      <c r="T57" s="2"/>
      <c r="U57" s="2"/>
      <c r="V57" s="2"/>
    </row>
    <row r="58" spans="1:22" x14ac:dyDescent="0.15">
      <c r="A58" s="79" t="s">
        <v>34</v>
      </c>
      <c r="B58" s="109">
        <f>C58*B5/C5</f>
        <v>117.89422522892013</v>
      </c>
      <c r="C58" s="109">
        <f>(959/53888)*C57</f>
        <v>449.36951999905853</v>
      </c>
      <c r="D58" s="108">
        <f>(959/53888)*D57</f>
        <v>939.6021748812351</v>
      </c>
      <c r="E58" s="109">
        <f t="shared" ref="E58:K58" si="19">(959/53888)*E57</f>
        <v>946.79182749406164</v>
      </c>
      <c r="F58" s="109">
        <f t="shared" si="19"/>
        <v>958.99999999999989</v>
      </c>
      <c r="G58" s="109">
        <f t="shared" si="19"/>
        <v>958.99999999999989</v>
      </c>
      <c r="H58" s="109">
        <f t="shared" si="19"/>
        <v>970.49632571258894</v>
      </c>
      <c r="I58" s="109">
        <f t="shared" si="19"/>
        <v>970.49632571258894</v>
      </c>
      <c r="J58" s="109">
        <f t="shared" si="19"/>
        <v>982.82773273077839</v>
      </c>
      <c r="K58" s="109">
        <f t="shared" si="19"/>
        <v>1002.0374562982481</v>
      </c>
      <c r="L58" s="21" t="s">
        <v>200</v>
      </c>
      <c r="T58" s="2"/>
      <c r="U58" s="2"/>
      <c r="V58" s="2"/>
    </row>
    <row r="59" spans="1:22" s="15" customFormat="1" x14ac:dyDescent="0.15">
      <c r="A59" s="82" t="s">
        <v>325</v>
      </c>
      <c r="B59" s="108">
        <v>10</v>
      </c>
      <c r="C59" s="108">
        <v>168</v>
      </c>
      <c r="D59" s="102">
        <v>289</v>
      </c>
      <c r="E59" s="108">
        <v>293</v>
      </c>
      <c r="F59" s="108">
        <v>298</v>
      </c>
      <c r="G59" s="108">
        <v>303</v>
      </c>
      <c r="H59" s="108">
        <v>307</v>
      </c>
      <c r="I59" s="108">
        <v>312</v>
      </c>
      <c r="J59" s="108">
        <v>317</v>
      </c>
      <c r="K59" s="108">
        <v>336</v>
      </c>
      <c r="L59" s="17"/>
      <c r="T59" s="16"/>
      <c r="U59" s="16"/>
      <c r="V59" s="16"/>
    </row>
    <row r="60" spans="1:22" s="15" customFormat="1" x14ac:dyDescent="0.15">
      <c r="A60" s="82" t="s">
        <v>378</v>
      </c>
      <c r="B60" s="108">
        <f>E325*(B5/C5)*(B58+(B59/0.917))</f>
        <v>281.1974908457737</v>
      </c>
      <c r="C60" s="108">
        <f>((C58+(C59/0.917))*E333)</f>
        <v>2605.712521839836</v>
      </c>
      <c r="D60" s="108">
        <f>((D58+(D59/0.917))*E329)</f>
        <v>10807.250457006712</v>
      </c>
      <c r="E60" s="108">
        <f>((E58+(E59/0.917))*F329)</f>
        <v>11176.27978264048</v>
      </c>
      <c r="F60" s="108">
        <f>((F58+(F59/0.917))*G329)</f>
        <v>11669.001030098145</v>
      </c>
      <c r="G60" s="108">
        <f>((G58+(G59/0.917))*H329)</f>
        <v>12203.636808287896</v>
      </c>
      <c r="H60" s="108">
        <f>((H58+(H59/0.917))*I329)</f>
        <v>12534.639138391602</v>
      </c>
      <c r="I60" s="108">
        <f>((I58+(I59/0.917))*F333)</f>
        <v>12317.861617891354</v>
      </c>
      <c r="J60" s="108">
        <f>((J58+(J59/0.917))*G333)</f>
        <v>13218.505384877746</v>
      </c>
      <c r="K60" s="108">
        <f>((K58+(K59/0.917))*H333)</f>
        <v>15347.945280722528</v>
      </c>
      <c r="L60" s="31" t="s">
        <v>96</v>
      </c>
      <c r="T60" s="16"/>
      <c r="U60" s="16"/>
      <c r="V60" s="16"/>
    </row>
    <row r="61" spans="1:22" s="43" customFormat="1" x14ac:dyDescent="0.15">
      <c r="A61" s="81" t="s">
        <v>366</v>
      </c>
      <c r="B61" s="42">
        <f>B60</f>
        <v>281.1974908457737</v>
      </c>
      <c r="C61" s="42">
        <f>B61+40*B60+(C60-B60)*40/2</f>
        <v>58019.397744557966</v>
      </c>
      <c r="D61" s="42">
        <f>C61+ 25*C60+(D60-C60)*25/2</f>
        <v>225681.43498013981</v>
      </c>
      <c r="E61" s="42">
        <f>D61+E60</f>
        <v>236857.71476278029</v>
      </c>
      <c r="F61" s="42">
        <f>E61+F60</f>
        <v>248526.71579287844</v>
      </c>
      <c r="G61" s="42">
        <f t="shared" ref="G61:J61" si="20">F61+G60</f>
        <v>260730.35260116635</v>
      </c>
      <c r="H61" s="42">
        <f t="shared" si="20"/>
        <v>273264.99173955794</v>
      </c>
      <c r="I61" s="42">
        <f t="shared" si="20"/>
        <v>285582.85335744929</v>
      </c>
      <c r="J61" s="42">
        <f t="shared" si="20"/>
        <v>298801.35874232702</v>
      </c>
      <c r="K61" s="42">
        <f>J61+4*J60+(K60-J60)*4/2</f>
        <v>355934.26007352758</v>
      </c>
      <c r="L61" s="48"/>
      <c r="T61" s="44"/>
      <c r="U61" s="44"/>
      <c r="V61" s="44"/>
    </row>
    <row r="62" spans="1:22" x14ac:dyDescent="0.15">
      <c r="B62" s="79"/>
      <c r="C62" s="101"/>
      <c r="D62" s="82"/>
    </row>
    <row r="63" spans="1:22" s="43" customFormat="1" x14ac:dyDescent="0.15">
      <c r="A63" s="81" t="s">
        <v>379</v>
      </c>
      <c r="B63" s="42">
        <f t="shared" ref="B63:J63" si="21">B32+B37+B41+B46+B54+B61</f>
        <v>445.17505403556288</v>
      </c>
      <c r="C63" s="42">
        <f t="shared" si="21"/>
        <v>77384.283913721738</v>
      </c>
      <c r="D63" s="42">
        <f t="shared" si="21"/>
        <v>267468.91994629544</v>
      </c>
      <c r="E63" s="42">
        <f t="shared" si="21"/>
        <v>284561.80406425335</v>
      </c>
      <c r="F63" s="42">
        <f t="shared" si="21"/>
        <v>302440.71896246274</v>
      </c>
      <c r="G63" s="42">
        <f t="shared" si="21"/>
        <v>321250.5390508197</v>
      </c>
      <c r="H63" s="42">
        <f t="shared" si="21"/>
        <v>340827.14636276121</v>
      </c>
      <c r="I63" s="42">
        <f t="shared" si="21"/>
        <v>360513.08831986401</v>
      </c>
      <c r="J63" s="42">
        <f t="shared" si="21"/>
        <v>381867.95158562373</v>
      </c>
      <c r="K63" s="42">
        <f>K32+K37+K41+K46+K54+K61</f>
        <v>473133.36393819016</v>
      </c>
      <c r="L63" s="48"/>
      <c r="T63" s="44"/>
      <c r="U63" s="44"/>
      <c r="V63" s="44"/>
    </row>
    <row r="64" spans="1:22" x14ac:dyDescent="0.15">
      <c r="B64" s="132"/>
      <c r="C64" s="101"/>
      <c r="D64" s="82"/>
    </row>
    <row r="65" spans="1:22" s="56" customFormat="1" x14ac:dyDescent="0.15">
      <c r="A65" s="82" t="s">
        <v>358</v>
      </c>
      <c r="B65" s="108">
        <f t="shared" ref="B65:J65" si="22">B8-(B18*0.4*1000/60)-B30</f>
        <v>1674.5971109350553</v>
      </c>
      <c r="C65" s="108">
        <f t="shared" si="22"/>
        <v>6115.0704500978463</v>
      </c>
      <c r="D65" s="108">
        <f t="shared" si="22"/>
        <v>9448.9197651663417</v>
      </c>
      <c r="E65" s="108">
        <f t="shared" si="22"/>
        <v>7865.3718199608629</v>
      </c>
      <c r="F65" s="108">
        <f t="shared" si="22"/>
        <v>8219.8238747553842</v>
      </c>
      <c r="G65" s="108">
        <f t="shared" si="22"/>
        <v>7913.455968688846</v>
      </c>
      <c r="H65" s="108">
        <f t="shared" si="22"/>
        <v>7085</v>
      </c>
      <c r="I65" s="108">
        <f t="shared" si="22"/>
        <v>6101.536203522498</v>
      </c>
      <c r="J65" s="108">
        <f t="shared" si="22"/>
        <v>4938.8530796067771</v>
      </c>
      <c r="K65" s="108">
        <f>K8-(K18*0.4/60)-K30</f>
        <v>51541.800522159348</v>
      </c>
    </row>
    <row r="66" spans="1:22" x14ac:dyDescent="0.15">
      <c r="A66" s="82" t="s">
        <v>331</v>
      </c>
      <c r="B66" s="108">
        <f>B65*60/1000</f>
        <v>100.47582665610332</v>
      </c>
      <c r="C66" s="108">
        <f t="shared" ref="C66:F66" si="23">C65*60/1000</f>
        <v>366.90422700587078</v>
      </c>
      <c r="D66" s="108">
        <f t="shared" si="23"/>
        <v>566.93518590998042</v>
      </c>
      <c r="E66" s="108">
        <f>E65*60/1000</f>
        <v>471.92230919765183</v>
      </c>
      <c r="F66" s="108">
        <f t="shared" si="23"/>
        <v>493.18943248532304</v>
      </c>
      <c r="G66" s="108">
        <f>G65*60/1000</f>
        <v>474.80735812133071</v>
      </c>
      <c r="H66" s="108">
        <f t="shared" ref="H66" si="24">H65*60/1000</f>
        <v>425.1</v>
      </c>
      <c r="I66" s="108">
        <f t="shared" ref="I66" si="25">I65*60/1000</f>
        <v>366.09217221134986</v>
      </c>
      <c r="J66" s="108">
        <f t="shared" ref="J66" si="26">J65*60/1000</f>
        <v>296.33118477640664</v>
      </c>
      <c r="K66" s="108">
        <f t="shared" ref="K66" si="27">K65*60/1000</f>
        <v>3092.5080313295612</v>
      </c>
    </row>
    <row r="67" spans="1:22" s="43" customFormat="1" x14ac:dyDescent="0.15">
      <c r="A67" s="81" t="s">
        <v>332</v>
      </c>
      <c r="B67" s="42">
        <f>B66</f>
        <v>100.47582665610332</v>
      </c>
      <c r="C67" s="42">
        <f>B67+40*B66+(C66-B66)*40/2</f>
        <v>9448.0768998955846</v>
      </c>
      <c r="D67" s="42">
        <f>C67+25*C66+(D66-C66)*25/2</f>
        <v>21121.069561343724</v>
      </c>
      <c r="E67" s="42">
        <f>D67+E66</f>
        <v>21592.991870541377</v>
      </c>
      <c r="F67" s="42">
        <f t="shared" ref="F67:J67" si="28">E67+F66</f>
        <v>22086.1813030267</v>
      </c>
      <c r="G67" s="42">
        <f t="shared" si="28"/>
        <v>22560.988661148032</v>
      </c>
      <c r="H67" s="42">
        <f t="shared" si="28"/>
        <v>22986.088661148031</v>
      </c>
      <c r="I67" s="42">
        <f t="shared" si="28"/>
        <v>23352.18083335938</v>
      </c>
      <c r="J67" s="42">
        <f t="shared" si="28"/>
        <v>23648.512018135785</v>
      </c>
      <c r="K67" s="42">
        <f>J67+K66</f>
        <v>26741.020049465347</v>
      </c>
    </row>
    <row r="68" spans="1:22" x14ac:dyDescent="0.15">
      <c r="B68" s="79"/>
      <c r="C68" s="101"/>
      <c r="D68" s="82"/>
    </row>
    <row r="69" spans="1:22" x14ac:dyDescent="0.15">
      <c r="A69" s="82" t="s">
        <v>263</v>
      </c>
      <c r="B69" s="79"/>
      <c r="C69" s="101"/>
      <c r="D69" s="108"/>
      <c r="E69" s="109"/>
      <c r="F69" s="109"/>
      <c r="G69" s="109"/>
      <c r="H69" s="109"/>
      <c r="K69" s="109"/>
      <c r="L69" s="7"/>
      <c r="T69" s="2"/>
      <c r="U69" s="2"/>
      <c r="V69" s="2"/>
    </row>
    <row r="70" spans="1:22" s="15" customFormat="1" x14ac:dyDescent="0.15">
      <c r="A70" s="82" t="s">
        <v>359</v>
      </c>
      <c r="B70" s="118">
        <f>K296</f>
        <v>0.1</v>
      </c>
      <c r="C70" s="118">
        <f>B287</f>
        <v>0.73749999999999993</v>
      </c>
      <c r="D70" s="118">
        <f>C296</f>
        <v>1.08</v>
      </c>
      <c r="E70" s="118">
        <f>D296</f>
        <v>1.0900000000000001</v>
      </c>
      <c r="F70" s="118">
        <f t="shared" ref="F70:H70" si="29">E296</f>
        <v>1.1000000000000001</v>
      </c>
      <c r="G70" s="118">
        <f t="shared" si="29"/>
        <v>1.1200000000000001</v>
      </c>
      <c r="H70" s="118">
        <f t="shared" si="29"/>
        <v>1.1299999999999999</v>
      </c>
      <c r="I70" s="118">
        <f>H296</f>
        <v>1.1399999999999999</v>
      </c>
      <c r="J70" s="118">
        <f>I296</f>
        <v>1.1599999999999999</v>
      </c>
      <c r="K70" s="118">
        <f t="shared" ref="K70" si="30">J296</f>
        <v>1.17</v>
      </c>
      <c r="L70" s="17" t="s">
        <v>91</v>
      </c>
      <c r="T70" s="16"/>
      <c r="U70" s="16"/>
      <c r="V70" s="16"/>
    </row>
    <row r="71" spans="1:22" s="43" customFormat="1" x14ac:dyDescent="0.15">
      <c r="A71" s="81" t="s">
        <v>290</v>
      </c>
      <c r="B71" s="42">
        <f>(B63*(2/(2-B70)))</f>
        <v>468.60532003743458</v>
      </c>
      <c r="C71" s="42">
        <f>(C63*(2/(2-C70)))</f>
        <v>122588.96461579679</v>
      </c>
      <c r="D71" s="42">
        <f>(D63*(2/(2-D70)))</f>
        <v>581454.17379629449</v>
      </c>
      <c r="E71" s="42">
        <f t="shared" ref="E71:J71" si="31">(E63*(2/(2-E70)))</f>
        <v>625410.55838297447</v>
      </c>
      <c r="F71" s="42">
        <f t="shared" si="31"/>
        <v>672090.48658325057</v>
      </c>
      <c r="G71" s="42">
        <f t="shared" si="31"/>
        <v>730114.8614791357</v>
      </c>
      <c r="H71" s="42">
        <f t="shared" si="31"/>
        <v>783510.68129370385</v>
      </c>
      <c r="I71" s="42">
        <f t="shared" si="31"/>
        <v>838402.53097642784</v>
      </c>
      <c r="J71" s="42">
        <f t="shared" si="31"/>
        <v>909209.40853719937</v>
      </c>
      <c r="K71" s="42">
        <f>(K63*(2/(2-K70)))</f>
        <v>1140080.3950317835</v>
      </c>
      <c r="L71" s="48"/>
      <c r="T71" s="44"/>
      <c r="U71" s="44"/>
      <c r="V71" s="44"/>
    </row>
    <row r="72" spans="1:22" x14ac:dyDescent="0.15">
      <c r="A72" s="79" t="s">
        <v>264</v>
      </c>
      <c r="B72" s="109">
        <f>C72*B71/C71</f>
        <v>32.935477968563944</v>
      </c>
      <c r="C72" s="109">
        <f>D72*C71/D71</f>
        <v>8616.0484541022743</v>
      </c>
      <c r="D72" s="108">
        <f>(E71-D71)*D71/E71</f>
        <v>40866.952021090088</v>
      </c>
      <c r="E72" s="109">
        <f>E71-D71</f>
        <v>43956.384586679982</v>
      </c>
      <c r="F72" s="109">
        <f>F71-E71</f>
        <v>46679.928200276103</v>
      </c>
      <c r="G72" s="109">
        <f t="shared" ref="G72:J72" si="32">G71-F71</f>
        <v>58024.374895885121</v>
      </c>
      <c r="H72" s="109">
        <f t="shared" si="32"/>
        <v>53395.819814568153</v>
      </c>
      <c r="I72" s="109">
        <f t="shared" si="32"/>
        <v>54891.849682723987</v>
      </c>
      <c r="J72" s="109">
        <f t="shared" si="32"/>
        <v>70806.877560771536</v>
      </c>
      <c r="K72" s="109">
        <f>((K71-J71)/4)*(K71/J71)</f>
        <v>72373.724637208812</v>
      </c>
      <c r="L72" s="9"/>
      <c r="T72" s="2"/>
      <c r="U72" s="2"/>
      <c r="V72" s="2"/>
    </row>
    <row r="73" spans="1:22" x14ac:dyDescent="0.15">
      <c r="A73" s="77"/>
      <c r="B73" s="77"/>
      <c r="C73" s="109"/>
      <c r="D73" s="108"/>
      <c r="E73" s="109"/>
      <c r="F73" s="109"/>
      <c r="G73" s="109"/>
      <c r="H73" s="109"/>
      <c r="I73" s="109"/>
      <c r="J73" s="109"/>
      <c r="K73" s="109"/>
      <c r="L73" s="9"/>
      <c r="T73" s="2"/>
      <c r="U73" s="2"/>
      <c r="V73" s="2"/>
    </row>
    <row r="74" spans="1:22" s="43" customFormat="1" x14ac:dyDescent="0.15">
      <c r="A74" s="84" t="s">
        <v>369</v>
      </c>
      <c r="B74" s="42">
        <f>B28+B63+B67+B71</f>
        <v>1970.3646715146751</v>
      </c>
      <c r="C74" s="42">
        <f t="shared" ref="C74:K74" si="33">C28+C63+C67+C71</f>
        <v>299327.39196561766</v>
      </c>
      <c r="D74" s="42">
        <f t="shared" si="33"/>
        <v>1070659.6231865168</v>
      </c>
      <c r="E74" s="42">
        <f t="shared" si="33"/>
        <v>1137624.2584273582</v>
      </c>
      <c r="F74" s="42">
        <f t="shared" si="33"/>
        <v>1208197.8173771158</v>
      </c>
      <c r="G74" s="42">
        <f t="shared" si="33"/>
        <v>1291162.2013241758</v>
      </c>
      <c r="H74" s="42">
        <f t="shared" si="33"/>
        <v>1370259.7284506855</v>
      </c>
      <c r="I74" s="42">
        <f t="shared" si="33"/>
        <v>1451069.8157852285</v>
      </c>
      <c r="J74" s="42">
        <f t="shared" si="33"/>
        <v>1549617.1832955577</v>
      </c>
      <c r="K74" s="42">
        <f t="shared" si="33"/>
        <v>1901012.5480996738</v>
      </c>
      <c r="L74" s="48"/>
      <c r="T74" s="44"/>
      <c r="U74" s="44"/>
      <c r="V74" s="44"/>
    </row>
    <row r="75" spans="1:22" x14ac:dyDescent="0.15">
      <c r="B75" s="79"/>
      <c r="C75" s="101"/>
      <c r="D75" s="82"/>
      <c r="E75" s="82"/>
      <c r="F75" s="82"/>
      <c r="G75" s="82"/>
    </row>
    <row r="76" spans="1:22" x14ac:dyDescent="0.15">
      <c r="A76" s="77" t="s">
        <v>35</v>
      </c>
      <c r="B76" s="101">
        <v>1950</v>
      </c>
      <c r="C76" s="101">
        <v>1990</v>
      </c>
      <c r="D76" s="102">
        <v>2015</v>
      </c>
      <c r="E76" s="101">
        <v>2016</v>
      </c>
      <c r="F76" s="101">
        <v>2017</v>
      </c>
      <c r="G76" s="101">
        <v>2018</v>
      </c>
      <c r="H76" s="101">
        <v>2019</v>
      </c>
      <c r="I76" s="101">
        <v>2020</v>
      </c>
      <c r="J76" s="101">
        <v>2021</v>
      </c>
      <c r="K76" s="101">
        <v>2025</v>
      </c>
      <c r="L76" s="7"/>
      <c r="T76" s="2"/>
      <c r="U76" s="2"/>
      <c r="V76" s="2"/>
    </row>
    <row r="77" spans="1:22" s="15" customFormat="1" x14ac:dyDescent="0.15">
      <c r="A77" s="82" t="s">
        <v>303</v>
      </c>
      <c r="B77" s="102">
        <v>0.6</v>
      </c>
      <c r="C77" s="102">
        <v>20.9</v>
      </c>
      <c r="D77" s="102">
        <v>26.6</v>
      </c>
      <c r="E77" s="102">
        <v>26.9</v>
      </c>
      <c r="F77" s="102">
        <v>27</v>
      </c>
      <c r="G77" s="102">
        <v>27.3</v>
      </c>
      <c r="H77" s="102">
        <v>27.4</v>
      </c>
      <c r="I77" s="102">
        <v>25.5</v>
      </c>
      <c r="J77" s="102">
        <v>24.5</v>
      </c>
      <c r="K77" s="102">
        <v>26.8</v>
      </c>
      <c r="L77" s="29" t="s">
        <v>351</v>
      </c>
      <c r="T77" s="16"/>
      <c r="U77" s="16"/>
      <c r="V77" s="16"/>
    </row>
    <row r="78" spans="1:22" s="50" customFormat="1" x14ac:dyDescent="0.15">
      <c r="A78" s="85" t="s">
        <v>361</v>
      </c>
      <c r="B78" s="133">
        <v>57</v>
      </c>
      <c r="C78" s="42">
        <v>339000</v>
      </c>
      <c r="D78" s="134">
        <v>1258000</v>
      </c>
      <c r="E78" s="134">
        <v>1322000</v>
      </c>
      <c r="F78" s="134">
        <v>1377000</v>
      </c>
      <c r="G78" s="134">
        <v>1444000</v>
      </c>
      <c r="H78" s="134">
        <v>1510000</v>
      </c>
      <c r="I78" s="42">
        <v>1510000</v>
      </c>
      <c r="J78" s="134">
        <v>1410000</v>
      </c>
      <c r="K78" s="134">
        <v>1730000</v>
      </c>
      <c r="L78" s="49"/>
      <c r="T78" s="51"/>
      <c r="U78" s="51"/>
      <c r="V78" s="51"/>
    </row>
    <row r="79" spans="1:22" s="25" customFormat="1" x14ac:dyDescent="0.15">
      <c r="A79" s="86"/>
      <c r="B79" s="86"/>
      <c r="C79" s="135"/>
      <c r="D79" s="135">
        <v>2</v>
      </c>
      <c r="E79" s="135"/>
      <c r="F79" s="135"/>
      <c r="G79" s="135"/>
      <c r="H79" s="135">
        <v>24.5</v>
      </c>
      <c r="I79" s="135"/>
      <c r="J79" s="135"/>
      <c r="K79" s="135"/>
      <c r="L79" s="24"/>
      <c r="T79" s="26"/>
      <c r="U79" s="26"/>
      <c r="V79" s="26"/>
    </row>
    <row r="80" spans="1:22" s="25" customFormat="1" x14ac:dyDescent="0.15">
      <c r="A80" s="87" t="s">
        <v>370</v>
      </c>
      <c r="B80" s="136">
        <v>1702</v>
      </c>
      <c r="C80" s="135">
        <v>6721</v>
      </c>
      <c r="D80" s="135">
        <v>18540</v>
      </c>
      <c r="E80" s="135">
        <v>19427</v>
      </c>
      <c r="F80" s="135">
        <v>20348</v>
      </c>
      <c r="G80" s="135">
        <v>20920</v>
      </c>
      <c r="H80" s="135">
        <v>22210</v>
      </c>
      <c r="I80" s="135">
        <v>11709</v>
      </c>
      <c r="J80" s="135">
        <v>13148</v>
      </c>
      <c r="K80" s="135">
        <v>26606</v>
      </c>
      <c r="L80" s="32" t="s">
        <v>235</v>
      </c>
    </row>
    <row r="81" spans="1:22" s="43" customFormat="1" x14ac:dyDescent="0.15">
      <c r="A81" s="85" t="s">
        <v>360</v>
      </c>
      <c r="B81" s="133">
        <v>6355</v>
      </c>
      <c r="C81" s="42">
        <v>46779</v>
      </c>
      <c r="D81" s="42">
        <v>158675</v>
      </c>
      <c r="E81" s="42">
        <v>170916</v>
      </c>
      <c r="F81" s="42">
        <v>182847</v>
      </c>
      <c r="G81" s="42">
        <v>194083</v>
      </c>
      <c r="H81" s="42">
        <v>205265</v>
      </c>
      <c r="I81" s="42">
        <v>205234</v>
      </c>
      <c r="J81" s="42">
        <v>205846</v>
      </c>
      <c r="K81" s="42">
        <v>234473</v>
      </c>
      <c r="L81" s="48" t="s">
        <v>236</v>
      </c>
    </row>
    <row r="82" spans="1:22" x14ac:dyDescent="0.15">
      <c r="B82" s="79"/>
      <c r="C82" s="79"/>
      <c r="D82" s="82"/>
    </row>
    <row r="83" spans="1:22" s="43" customFormat="1" x14ac:dyDescent="0.15">
      <c r="A83" s="88" t="s">
        <v>362</v>
      </c>
      <c r="B83" s="42">
        <f>B78+B81</f>
        <v>6412</v>
      </c>
      <c r="C83" s="42">
        <f>C78+C81</f>
        <v>385779</v>
      </c>
      <c r="D83" s="42">
        <f>D78+D81</f>
        <v>1416675</v>
      </c>
      <c r="E83" s="42">
        <f t="shared" ref="E83:F83" si="34">E78+E81</f>
        <v>1492916</v>
      </c>
      <c r="F83" s="42">
        <f t="shared" si="34"/>
        <v>1559847</v>
      </c>
      <c r="G83" s="42">
        <f>G78+G81</f>
        <v>1638083</v>
      </c>
      <c r="H83" s="42">
        <f>H78+H81</f>
        <v>1715265</v>
      </c>
      <c r="I83" s="42">
        <f>J78+I81</f>
        <v>1615234</v>
      </c>
      <c r="J83" s="42">
        <f>J78+J81</f>
        <v>1615846</v>
      </c>
      <c r="K83" s="42">
        <f>K78+K81</f>
        <v>1964473</v>
      </c>
    </row>
    <row r="84" spans="1:22" s="15" customFormat="1" x14ac:dyDescent="0.15">
      <c r="A84" s="89"/>
      <c r="B84" s="108"/>
      <c r="C84" s="108"/>
      <c r="D84" s="108"/>
      <c r="E84" s="108"/>
      <c r="F84" s="108"/>
      <c r="G84" s="108"/>
      <c r="H84" s="108"/>
      <c r="I84" s="108"/>
      <c r="J84" s="108"/>
      <c r="K84" s="108"/>
    </row>
    <row r="85" spans="1:22" s="15" customFormat="1" x14ac:dyDescent="0.15">
      <c r="A85" s="89" t="s">
        <v>338</v>
      </c>
      <c r="B85" s="101">
        <v>1950</v>
      </c>
      <c r="C85" s="101">
        <v>1990</v>
      </c>
      <c r="D85" s="102">
        <v>2015</v>
      </c>
      <c r="E85" s="101">
        <v>2016</v>
      </c>
      <c r="F85" s="101">
        <v>2017</v>
      </c>
      <c r="G85" s="101">
        <v>2018</v>
      </c>
      <c r="H85" s="101">
        <v>2019</v>
      </c>
      <c r="I85" s="101">
        <v>2020</v>
      </c>
      <c r="J85" s="101">
        <v>2021</v>
      </c>
      <c r="K85" s="101">
        <v>2025</v>
      </c>
    </row>
    <row r="86" spans="1:22" x14ac:dyDescent="0.15">
      <c r="B86" s="79"/>
      <c r="C86" s="101"/>
      <c r="D86" s="82"/>
    </row>
    <row r="87" spans="1:22" s="58" customFormat="1" x14ac:dyDescent="0.15">
      <c r="A87" s="90" t="s">
        <v>8</v>
      </c>
      <c r="B87" s="137">
        <f>(B5-B80)+(B83-B74)</f>
        <v>12173.911910574938</v>
      </c>
      <c r="C87" s="137">
        <f>(C5-C80)+(C83-C74)</f>
        <v>115690.60803438234</v>
      </c>
      <c r="D87" s="137">
        <f t="shared" ref="D87:K87" si="35">(D5-D80)+D83-D74</f>
        <v>402665.37681348319</v>
      </c>
      <c r="E87" s="137">
        <f t="shared" si="35"/>
        <v>413164.74157264177</v>
      </c>
      <c r="F87" s="137">
        <f t="shared" si="35"/>
        <v>411211.18262288417</v>
      </c>
      <c r="G87" s="137">
        <f t="shared" si="35"/>
        <v>408540.79867582419</v>
      </c>
      <c r="H87" s="137">
        <f t="shared" si="35"/>
        <v>407475.27154931449</v>
      </c>
      <c r="I87" s="137">
        <f t="shared" si="35"/>
        <v>234495.18421477149</v>
      </c>
      <c r="J87" s="137">
        <f t="shared" si="35"/>
        <v>139940.81670444226</v>
      </c>
      <c r="K87" s="137">
        <f t="shared" si="35"/>
        <v>134764.45190032618</v>
      </c>
      <c r="L87" s="57"/>
      <c r="T87" s="59"/>
      <c r="U87" s="59"/>
      <c r="V87" s="59"/>
    </row>
    <row r="88" spans="1:22" s="58" customFormat="1" x14ac:dyDescent="0.15">
      <c r="A88" s="90" t="s">
        <v>335</v>
      </c>
      <c r="B88" s="137">
        <f t="shared" ref="B88:K88" si="36">B83-B74</f>
        <v>4441.6353284853249</v>
      </c>
      <c r="C88" s="137">
        <f t="shared" si="36"/>
        <v>86451.608034382341</v>
      </c>
      <c r="D88" s="137">
        <f t="shared" si="36"/>
        <v>346015.37681348319</v>
      </c>
      <c r="E88" s="137">
        <f t="shared" si="36"/>
        <v>355291.74157264177</v>
      </c>
      <c r="F88" s="137">
        <f t="shared" si="36"/>
        <v>351649.18262288417</v>
      </c>
      <c r="G88" s="137">
        <f t="shared" si="36"/>
        <v>346920.79867582419</v>
      </c>
      <c r="H88" s="137">
        <f t="shared" si="36"/>
        <v>345005.27154931449</v>
      </c>
      <c r="I88" s="137">
        <f t="shared" si="36"/>
        <v>164164.18421477149</v>
      </c>
      <c r="J88" s="137">
        <f t="shared" si="36"/>
        <v>66228.816704442259</v>
      </c>
      <c r="K88" s="137">
        <f t="shared" si="36"/>
        <v>63460.451900326181</v>
      </c>
    </row>
    <row r="89" spans="1:22" x14ac:dyDescent="0.15">
      <c r="B89" s="79"/>
      <c r="C89" s="79"/>
      <c r="D89" s="82"/>
    </row>
    <row r="90" spans="1:22" s="58" customFormat="1" x14ac:dyDescent="0.15">
      <c r="A90" s="90" t="s">
        <v>404</v>
      </c>
      <c r="B90" s="137">
        <f t="shared" ref="B90:K90" si="37">1000*B87/B9</f>
        <v>4871.5133695778059</v>
      </c>
      <c r="C90" s="137">
        <f t="shared" si="37"/>
        <v>21762.717839424819</v>
      </c>
      <c r="D90" s="137">
        <f t="shared" si="37"/>
        <v>54216.423429848277</v>
      </c>
      <c r="E90" s="137">
        <f t="shared" si="37"/>
        <v>54993.310471534911</v>
      </c>
      <c r="F90" s="137">
        <f t="shared" si="37"/>
        <v>54106.734555642652</v>
      </c>
      <c r="G90" s="137">
        <f t="shared" si="37"/>
        <v>53167.724970825635</v>
      </c>
      <c r="H90" s="137">
        <f t="shared" si="37"/>
        <v>52475.88815831481</v>
      </c>
      <c r="I90" s="137">
        <f t="shared" si="37"/>
        <v>29906.285450168536</v>
      </c>
      <c r="J90" s="137">
        <f t="shared" si="37"/>
        <v>17693.869857686466</v>
      </c>
      <c r="K90" s="137">
        <f t="shared" si="37"/>
        <v>16450.738757364037</v>
      </c>
      <c r="L90" s="57"/>
      <c r="T90" s="59"/>
      <c r="U90" s="59"/>
      <c r="V90" s="59"/>
    </row>
    <row r="91" spans="1:22" s="58" customFormat="1" x14ac:dyDescent="0.15">
      <c r="A91" s="90" t="s">
        <v>363</v>
      </c>
      <c r="B91" s="137">
        <f t="shared" ref="B91:K91" si="38">B88/(B9/1000)</f>
        <v>1777.3650774250998</v>
      </c>
      <c r="C91" s="137">
        <f t="shared" si="38"/>
        <v>16262.529728062895</v>
      </c>
      <c r="D91" s="137">
        <f t="shared" si="38"/>
        <v>46588.848365892445</v>
      </c>
      <c r="E91" s="137">
        <f t="shared" si="38"/>
        <v>47290.262421488325</v>
      </c>
      <c r="F91" s="137">
        <f t="shared" si="38"/>
        <v>46269.629292484758</v>
      </c>
      <c r="G91" s="137">
        <f t="shared" si="38"/>
        <v>45148.464169159837</v>
      </c>
      <c r="H91" s="137">
        <f t="shared" si="38"/>
        <v>44430.814108089442</v>
      </c>
      <c r="I91" s="137">
        <f t="shared" si="38"/>
        <v>20936.638721434956</v>
      </c>
      <c r="J91" s="137">
        <f t="shared" si="38"/>
        <v>8373.8546850982748</v>
      </c>
      <c r="K91" s="137">
        <f t="shared" si="38"/>
        <v>7746.6371948640353</v>
      </c>
      <c r="L91" s="57"/>
      <c r="T91" s="59"/>
      <c r="U91" s="59"/>
      <c r="V91" s="59"/>
    </row>
    <row r="92" spans="1:22" x14ac:dyDescent="0.15">
      <c r="B92" s="79"/>
      <c r="C92" s="101"/>
      <c r="D92" s="108"/>
      <c r="E92" s="101"/>
      <c r="F92" s="101"/>
      <c r="G92" s="101"/>
      <c r="H92" s="101"/>
      <c r="I92" s="101"/>
      <c r="J92" s="101"/>
      <c r="K92" s="109"/>
      <c r="L92" s="7"/>
      <c r="T92" s="2"/>
      <c r="U92" s="2"/>
      <c r="V92" s="2"/>
    </row>
    <row r="93" spans="1:22" x14ac:dyDescent="0.15">
      <c r="A93" s="89" t="s">
        <v>60</v>
      </c>
      <c r="B93" s="79"/>
      <c r="C93" s="101"/>
      <c r="D93" s="108"/>
      <c r="E93" s="101"/>
      <c r="F93" s="101"/>
      <c r="G93" s="101"/>
      <c r="H93" s="101"/>
      <c r="I93" s="101"/>
      <c r="J93" s="101"/>
      <c r="K93" s="109"/>
      <c r="L93" s="7"/>
      <c r="T93" s="2"/>
      <c r="U93" s="2"/>
      <c r="V93" s="2"/>
    </row>
    <row r="94" spans="1:22" x14ac:dyDescent="0.15">
      <c r="B94" s="79"/>
      <c r="C94" s="101"/>
      <c r="D94" s="108"/>
      <c r="E94" s="101"/>
      <c r="F94" s="101"/>
      <c r="G94" s="101"/>
      <c r="H94" s="101"/>
      <c r="I94" s="101"/>
      <c r="J94" s="101"/>
      <c r="K94" s="109"/>
      <c r="L94" s="7"/>
      <c r="T94" s="2"/>
      <c r="U94" s="2"/>
      <c r="V94" s="2"/>
    </row>
    <row r="95" spans="1:22" x14ac:dyDescent="0.15">
      <c r="A95" s="77" t="s">
        <v>13</v>
      </c>
      <c r="B95" s="102">
        <v>1950</v>
      </c>
      <c r="C95" s="101">
        <v>1990</v>
      </c>
      <c r="D95" s="102">
        <v>2015</v>
      </c>
      <c r="E95" s="101">
        <v>2016</v>
      </c>
      <c r="F95" s="101">
        <v>2017</v>
      </c>
      <c r="G95" s="101">
        <v>2018</v>
      </c>
      <c r="H95" s="101">
        <v>2019</v>
      </c>
      <c r="I95" s="101">
        <v>2020</v>
      </c>
      <c r="J95" s="101">
        <v>2021</v>
      </c>
      <c r="K95" s="101">
        <v>2025</v>
      </c>
      <c r="L95" s="14" t="s">
        <v>92</v>
      </c>
      <c r="T95" s="2"/>
      <c r="U95" s="2"/>
      <c r="V95" s="2"/>
    </row>
    <row r="96" spans="1:22" s="67" customFormat="1" x14ac:dyDescent="0.15">
      <c r="A96" s="78" t="s">
        <v>87</v>
      </c>
      <c r="B96" s="103">
        <v>41880</v>
      </c>
      <c r="C96" s="103">
        <v>57996</v>
      </c>
      <c r="D96" s="103">
        <v>66422</v>
      </c>
      <c r="E96" s="103">
        <v>66602</v>
      </c>
      <c r="F96" s="103">
        <v>66774</v>
      </c>
      <c r="G96" s="103">
        <v>66992</v>
      </c>
      <c r="H96" s="103">
        <v>67258</v>
      </c>
      <c r="I96" s="103">
        <v>67454</v>
      </c>
      <c r="J96" s="103">
        <v>67626</v>
      </c>
      <c r="K96" s="103">
        <f>J96+4*116</f>
        <v>68090</v>
      </c>
      <c r="L96" s="73" t="s">
        <v>219</v>
      </c>
      <c r="T96" s="65"/>
      <c r="U96" s="65"/>
      <c r="V96" s="65"/>
    </row>
    <row r="97" spans="1:22" s="67" customFormat="1" x14ac:dyDescent="0.15">
      <c r="A97" s="78" t="s">
        <v>218</v>
      </c>
      <c r="B97" s="104">
        <f>(C97/C96)*B96</f>
        <v>16995.931719428925</v>
      </c>
      <c r="C97" s="171">
        <v>23536.2</v>
      </c>
      <c r="D97" s="171">
        <v>26644.7</v>
      </c>
      <c r="E97" s="171">
        <v>26773.9</v>
      </c>
      <c r="F97" s="171">
        <v>27014</v>
      </c>
      <c r="G97" s="171">
        <v>27272</v>
      </c>
      <c r="H97" s="171">
        <v>27435.200000000001</v>
      </c>
      <c r="I97" s="171">
        <v>27343.4</v>
      </c>
      <c r="J97" s="171">
        <v>27880.5</v>
      </c>
      <c r="K97" s="104">
        <f>J97+(J97-F97)</f>
        <v>28747</v>
      </c>
      <c r="L97" s="73" t="s">
        <v>220</v>
      </c>
      <c r="T97" s="65"/>
      <c r="U97" s="65"/>
      <c r="V97" s="65"/>
    </row>
    <row r="98" spans="1:22" s="67" customFormat="1" x14ac:dyDescent="0.15">
      <c r="A98" s="78" t="s">
        <v>364</v>
      </c>
      <c r="B98" s="104">
        <v>293.39999999999998</v>
      </c>
      <c r="C98" s="104">
        <v>1480</v>
      </c>
      <c r="D98" s="104">
        <v>2181.1</v>
      </c>
      <c r="E98" s="104">
        <v>2198</v>
      </c>
      <c r="F98" s="104">
        <v>2248</v>
      </c>
      <c r="G98" s="104">
        <v>2290</v>
      </c>
      <c r="H98" s="104">
        <v>2332</v>
      </c>
      <c r="I98" s="104">
        <v>2317</v>
      </c>
      <c r="J98" s="104">
        <v>2501</v>
      </c>
      <c r="K98" s="104">
        <f>J98*K96/J96</f>
        <v>2518.1600272084702</v>
      </c>
      <c r="L98" s="73" t="s">
        <v>92</v>
      </c>
      <c r="T98" s="65"/>
      <c r="U98" s="65"/>
      <c r="V98" s="65"/>
    </row>
    <row r="99" spans="1:22" s="67" customFormat="1" x14ac:dyDescent="0.15">
      <c r="A99" s="78" t="s">
        <v>221</v>
      </c>
      <c r="B99" s="104">
        <f>C99*B98/C98</f>
        <v>4665.8926216216214</v>
      </c>
      <c r="C99" s="104">
        <v>23536.2</v>
      </c>
      <c r="D99" s="105">
        <v>23949.634864399999</v>
      </c>
      <c r="E99" s="105">
        <v>24037.865201600001</v>
      </c>
      <c r="F99" s="105">
        <v>24155.505651200001</v>
      </c>
      <c r="G99" s="105">
        <v>24430.000033600001</v>
      </c>
      <c r="H99" s="105">
        <v>24694.691045200001</v>
      </c>
      <c r="I99" s="105">
        <v>22400</v>
      </c>
      <c r="J99" s="105">
        <v>23547.345522600001</v>
      </c>
      <c r="K99" s="105">
        <v>25439.747226</v>
      </c>
    </row>
    <row r="100" spans="1:22" s="67" customFormat="1" x14ac:dyDescent="0.15">
      <c r="A100" s="78" t="s">
        <v>194</v>
      </c>
      <c r="B100" s="104">
        <f>C100*B8/C8</f>
        <v>142.9484253765404</v>
      </c>
      <c r="C100" s="103">
        <f>522</f>
        <v>522</v>
      </c>
      <c r="D100" s="103">
        <v>617</v>
      </c>
      <c r="E100" s="103">
        <v>609</v>
      </c>
      <c r="F100" s="103">
        <v>633</v>
      </c>
      <c r="G100" s="103">
        <v>615</v>
      </c>
      <c r="H100" s="103">
        <v>605</v>
      </c>
      <c r="I100" s="103">
        <v>552</v>
      </c>
      <c r="J100" s="103">
        <v>604</v>
      </c>
      <c r="K100" s="104">
        <f>(D100+E100+F100+G100)/4</f>
        <v>618.5</v>
      </c>
      <c r="L100" s="75" t="s">
        <v>352</v>
      </c>
    </row>
    <row r="101" spans="1:22" s="67" customFormat="1" x14ac:dyDescent="0.15">
      <c r="A101" s="78" t="s">
        <v>89</v>
      </c>
      <c r="B101" s="103">
        <f>345000+(345000-326000)*(11/10)</f>
        <v>365900</v>
      </c>
      <c r="C101" s="104">
        <v>305928</v>
      </c>
      <c r="D101" s="104">
        <v>287269</v>
      </c>
      <c r="E101" s="104">
        <v>287180</v>
      </c>
      <c r="F101" s="104">
        <v>286975</v>
      </c>
      <c r="G101" s="104">
        <v>286601</v>
      </c>
      <c r="H101" s="104">
        <v>286212</v>
      </c>
      <c r="I101" s="104">
        <v>285538</v>
      </c>
      <c r="J101" s="104">
        <f>I101+(I101-H101)</f>
        <v>284864</v>
      </c>
      <c r="K101" s="104">
        <f>J101+(J101-I101)*4/2</f>
        <v>283516</v>
      </c>
      <c r="L101" s="74" t="s">
        <v>291</v>
      </c>
      <c r="T101" s="65"/>
      <c r="U101" s="65"/>
      <c r="V101" s="65"/>
    </row>
    <row r="102" spans="1:22" s="67" customFormat="1" x14ac:dyDescent="0.15">
      <c r="A102" s="78" t="s">
        <v>343</v>
      </c>
      <c r="B102" s="138">
        <f>46.6*B96/67258</f>
        <v>29.016741502869547</v>
      </c>
      <c r="C102" s="138">
        <f t="shared" ref="C102:K102" si="39">46.6*C96/67258</f>
        <v>40.18278271729757</v>
      </c>
      <c r="D102" s="138">
        <f t="shared" si="39"/>
        <v>46.020773736953231</v>
      </c>
      <c r="E102" s="138">
        <f t="shared" si="39"/>
        <v>46.145487525647511</v>
      </c>
      <c r="F102" s="138">
        <f t="shared" si="39"/>
        <v>46.264658479288705</v>
      </c>
      <c r="G102" s="138">
        <f t="shared" si="39"/>
        <v>46.415700734485121</v>
      </c>
      <c r="H102" s="138">
        <f>46.6</f>
        <v>46.6</v>
      </c>
      <c r="I102" s="138">
        <f t="shared" si="39"/>
        <v>46.735799458800436</v>
      </c>
      <c r="J102" s="138">
        <f t="shared" si="39"/>
        <v>46.854970412441645</v>
      </c>
      <c r="K102" s="138">
        <f t="shared" si="39"/>
        <v>47.176454845520233</v>
      </c>
      <c r="L102" s="74"/>
      <c r="T102" s="65"/>
      <c r="U102" s="65"/>
      <c r="V102" s="65"/>
    </row>
    <row r="103" spans="1:22" x14ac:dyDescent="0.15">
      <c r="B103" s="79"/>
      <c r="C103" s="116"/>
      <c r="D103" s="117"/>
      <c r="E103" s="116"/>
      <c r="F103" s="116"/>
      <c r="G103" s="101"/>
      <c r="H103" s="116"/>
      <c r="I103" s="116"/>
      <c r="J103" s="116"/>
      <c r="K103" s="109"/>
      <c r="L103" s="14"/>
      <c r="T103" s="2"/>
      <c r="U103" s="2"/>
      <c r="V103" s="2"/>
    </row>
    <row r="104" spans="1:22" x14ac:dyDescent="0.15">
      <c r="A104" s="77" t="s">
        <v>58</v>
      </c>
      <c r="B104" s="102">
        <v>1950</v>
      </c>
      <c r="C104" s="101">
        <v>1990</v>
      </c>
      <c r="D104" s="102">
        <v>2015</v>
      </c>
      <c r="E104" s="101">
        <v>2016</v>
      </c>
      <c r="F104" s="101">
        <v>2017</v>
      </c>
      <c r="G104" s="101">
        <v>2018</v>
      </c>
      <c r="H104" s="101">
        <v>2019</v>
      </c>
      <c r="I104" s="101">
        <v>2020</v>
      </c>
      <c r="J104" s="101">
        <v>2021</v>
      </c>
      <c r="K104" s="101">
        <v>2025</v>
      </c>
      <c r="L104" s="14"/>
      <c r="T104" s="2"/>
      <c r="U104" s="2"/>
      <c r="V104" s="2"/>
    </row>
    <row r="105" spans="1:22" hidden="1" x14ac:dyDescent="0.15">
      <c r="A105" s="6" t="s">
        <v>180</v>
      </c>
      <c r="B105" s="6"/>
      <c r="C105" s="8"/>
      <c r="D105" s="110">
        <v>4.1000000000000002E-2</v>
      </c>
      <c r="E105" s="6"/>
      <c r="F105" s="8"/>
      <c r="G105" s="8"/>
      <c r="H105" s="8"/>
      <c r="I105" s="101"/>
      <c r="J105" s="101"/>
      <c r="K105" s="101"/>
    </row>
    <row r="106" spans="1:22" hidden="1" x14ac:dyDescent="0.15">
      <c r="A106" s="6" t="s">
        <v>69</v>
      </c>
      <c r="B106" s="6"/>
      <c r="C106" s="8"/>
      <c r="D106" s="110"/>
      <c r="E106" s="8"/>
      <c r="F106" s="6"/>
      <c r="G106" s="8"/>
      <c r="I106" s="101"/>
      <c r="J106" s="101"/>
      <c r="K106" s="101"/>
      <c r="L106" s="1" t="s">
        <v>172</v>
      </c>
    </row>
    <row r="107" spans="1:22" hidden="1" x14ac:dyDescent="0.15">
      <c r="A107" s="6" t="s">
        <v>282</v>
      </c>
      <c r="B107" s="6"/>
      <c r="C107" s="8"/>
      <c r="D107" s="139">
        <f>H107*D8/H8</f>
        <v>27.281884117023878</v>
      </c>
      <c r="E107" s="6"/>
      <c r="F107" s="6"/>
      <c r="G107" s="8"/>
      <c r="H107" s="115">
        <f>30*H14/5900</f>
        <v>28.983456930975471</v>
      </c>
      <c r="I107" s="107" t="s">
        <v>286</v>
      </c>
      <c r="J107" s="101"/>
      <c r="K107" s="101"/>
      <c r="L107" s="1" t="s">
        <v>162</v>
      </c>
    </row>
    <row r="108" spans="1:22" hidden="1" x14ac:dyDescent="0.15">
      <c r="A108" s="6" t="s">
        <v>283</v>
      </c>
      <c r="B108" s="6"/>
      <c r="C108" s="8"/>
      <c r="D108" s="139">
        <f>D107/1.258</f>
        <v>21.686712334677168</v>
      </c>
      <c r="E108" s="6"/>
      <c r="F108" s="8"/>
      <c r="G108" s="8"/>
      <c r="H108" s="140">
        <f>H107/1.258</f>
        <v>23.039313935592585</v>
      </c>
      <c r="I108" s="107" t="s">
        <v>261</v>
      </c>
      <c r="J108" s="101"/>
      <c r="K108" s="101"/>
    </row>
    <row r="109" spans="1:22" hidden="1" x14ac:dyDescent="0.15">
      <c r="A109" s="79" t="s">
        <v>284</v>
      </c>
      <c r="B109" s="79"/>
      <c r="C109" s="101"/>
      <c r="D109" s="102"/>
      <c r="E109" s="101"/>
      <c r="F109" s="101"/>
      <c r="G109" s="101"/>
      <c r="H109" s="101"/>
      <c r="I109" s="101"/>
      <c r="J109" s="101"/>
      <c r="K109" s="101"/>
    </row>
    <row r="110" spans="1:22" hidden="1" x14ac:dyDescent="0.15">
      <c r="B110" s="79"/>
      <c r="C110" s="101"/>
      <c r="D110" s="82"/>
    </row>
    <row r="111" spans="1:22" hidden="1" x14ac:dyDescent="0.15">
      <c r="A111" s="79" t="s">
        <v>240</v>
      </c>
      <c r="B111" s="101">
        <v>1950</v>
      </c>
      <c r="C111" s="101">
        <v>1990</v>
      </c>
      <c r="D111" s="102">
        <v>2015</v>
      </c>
      <c r="E111" s="101">
        <v>2016</v>
      </c>
      <c r="F111" s="101">
        <v>2017</v>
      </c>
      <c r="G111" s="101">
        <v>2018</v>
      </c>
      <c r="H111" s="101">
        <v>2019</v>
      </c>
      <c r="I111" s="101">
        <v>2020</v>
      </c>
      <c r="J111" s="101">
        <v>2021</v>
      </c>
      <c r="K111" s="101">
        <v>2025</v>
      </c>
    </row>
    <row r="112" spans="1:22" hidden="1" x14ac:dyDescent="0.15">
      <c r="B112" s="79"/>
      <c r="C112" s="101"/>
      <c r="D112" s="82"/>
    </row>
    <row r="113" spans="1:14" s="15" customFormat="1" hidden="1" x14ac:dyDescent="0.15">
      <c r="A113" s="82" t="s">
        <v>20</v>
      </c>
      <c r="B113" s="118">
        <f>C113*B100/C100</f>
        <v>3.8645760026154745</v>
      </c>
      <c r="C113" s="118">
        <f>H113*C8/H8</f>
        <v>14.112143369550839</v>
      </c>
      <c r="D113" s="118">
        <f>H113*D8/H8</f>
        <v>21.686712334677168</v>
      </c>
      <c r="E113" s="118">
        <f>H113*E8/H8</f>
        <v>22.002319374890764</v>
      </c>
      <c r="F113" s="118">
        <f>H113*F8/H8</f>
        <v>22.31792641510436</v>
      </c>
      <c r="G113" s="118">
        <f>H108*G8/H8</f>
        <v>22.858967055470529</v>
      </c>
      <c r="H113" s="118">
        <f>H108</f>
        <v>23.039313935592585</v>
      </c>
      <c r="I113" s="141">
        <f>H113*I8/H8</f>
        <v>23.71110606404724</v>
      </c>
      <c r="J113" s="108">
        <f>H113</f>
        <v>23.039313935592585</v>
      </c>
      <c r="K113" s="108">
        <f>H113*K8/H8</f>
        <v>28.269373459132193</v>
      </c>
      <c r="L113" s="15" t="s">
        <v>167</v>
      </c>
    </row>
    <row r="114" spans="1:14" hidden="1" x14ac:dyDescent="0.15">
      <c r="A114" s="79" t="s">
        <v>185</v>
      </c>
      <c r="B114" s="79"/>
      <c r="C114" s="116"/>
      <c r="D114" s="118"/>
      <c r="E114" s="116"/>
      <c r="F114" s="116"/>
      <c r="G114" s="116"/>
      <c r="H114" s="116"/>
      <c r="I114" s="142"/>
      <c r="J114" s="109"/>
      <c r="K114" s="109"/>
    </row>
    <row r="115" spans="1:14" hidden="1" x14ac:dyDescent="0.15">
      <c r="B115" s="79"/>
      <c r="C115" s="101"/>
      <c r="D115" s="82"/>
    </row>
    <row r="116" spans="1:14" s="20" customFormat="1" hidden="1" x14ac:dyDescent="0.15">
      <c r="A116" s="6" t="s">
        <v>285</v>
      </c>
      <c r="B116" s="6"/>
      <c r="C116" s="8"/>
      <c r="D116" s="110" t="str">
        <f>D21</f>
        <v>Charbon</v>
      </c>
      <c r="E116" s="8" t="str">
        <f>E21</f>
        <v xml:space="preserve">pétrole </v>
      </c>
      <c r="F116" s="8" t="str">
        <f>F21</f>
        <v>gaz</v>
      </c>
      <c r="G116" s="6"/>
      <c r="H116" s="8" t="s">
        <v>301</v>
      </c>
      <c r="I116" s="6" t="s">
        <v>187</v>
      </c>
      <c r="J116" s="8"/>
      <c r="K116" s="8"/>
      <c r="L116" s="20" t="s">
        <v>188</v>
      </c>
    </row>
    <row r="117" spans="1:14" hidden="1" x14ac:dyDescent="0.15">
      <c r="A117" s="6" t="s">
        <v>183</v>
      </c>
      <c r="B117" s="6"/>
      <c r="C117" s="8"/>
      <c r="D117" s="143">
        <v>2.5000000000000001E-2</v>
      </c>
      <c r="E117" s="144">
        <v>0.28100000000000003</v>
      </c>
      <c r="F117" s="144">
        <v>0.158</v>
      </c>
      <c r="G117" s="6"/>
      <c r="H117" s="6"/>
      <c r="I117" s="6" t="s">
        <v>171</v>
      </c>
      <c r="J117" s="6"/>
      <c r="K117" s="6"/>
    </row>
    <row r="118" spans="1:14" hidden="1" x14ac:dyDescent="0.15">
      <c r="A118" s="6" t="s">
        <v>232</v>
      </c>
      <c r="B118" s="6"/>
      <c r="C118" s="8"/>
      <c r="D118" s="145">
        <f>D117*23/(D117+E117+F117)</f>
        <v>1.2392241379310345</v>
      </c>
      <c r="E118" s="146">
        <f>E117*23/(D117+E117+F117)</f>
        <v>13.928879310344827</v>
      </c>
      <c r="F118" s="146">
        <f>F117*23/(D117+E117+F117)</f>
        <v>7.8318965517241361</v>
      </c>
      <c r="G118" s="6"/>
      <c r="H118" s="140">
        <f>D118+E118+F118</f>
        <v>22.999999999999996</v>
      </c>
      <c r="I118" s="6"/>
      <c r="J118" s="6"/>
      <c r="K118" s="6"/>
    </row>
    <row r="119" spans="1:14" hidden="1" x14ac:dyDescent="0.15">
      <c r="A119" s="6" t="s">
        <v>233</v>
      </c>
      <c r="B119" s="6"/>
      <c r="C119" s="8"/>
      <c r="D119" s="145">
        <v>0.63</v>
      </c>
      <c r="E119" s="146">
        <f>H127</f>
        <v>0.73647819063004849</v>
      </c>
      <c r="F119" s="146">
        <v>1.05</v>
      </c>
      <c r="G119" s="6"/>
      <c r="H119" s="146"/>
      <c r="I119" s="6"/>
      <c r="J119" s="6"/>
      <c r="K119" s="6"/>
      <c r="L119" t="s">
        <v>234</v>
      </c>
    </row>
    <row r="120" spans="1:14" s="19" customFormat="1" hidden="1" x14ac:dyDescent="0.15">
      <c r="A120" s="6" t="s">
        <v>380</v>
      </c>
      <c r="B120" s="6"/>
      <c r="C120" s="8"/>
      <c r="D120" s="145">
        <f>D118/(1-D119)</f>
        <v>3.3492544268406337</v>
      </c>
      <c r="E120" s="146">
        <f>E118/(1-E119)</f>
        <v>52.856647211276659</v>
      </c>
      <c r="F120" s="146">
        <f>F118/F119</f>
        <v>7.4589490968801293</v>
      </c>
      <c r="G120" s="6"/>
      <c r="H120" s="146">
        <f>D120+E120+F120</f>
        <v>63.664850734997415</v>
      </c>
      <c r="I120" s="147"/>
      <c r="J120" s="147"/>
      <c r="K120" s="147"/>
    </row>
    <row r="121" spans="1:14" hidden="1" x14ac:dyDescent="0.15">
      <c r="A121" s="6" t="s">
        <v>300</v>
      </c>
      <c r="B121" s="6"/>
      <c r="C121" s="8"/>
      <c r="D121" s="145">
        <f>D120+D118</f>
        <v>4.5884785647716679</v>
      </c>
      <c r="E121" s="146">
        <f>E120+E118</f>
        <v>66.785526521621492</v>
      </c>
      <c r="F121" s="146">
        <f>F118+F120</f>
        <v>15.290845648604265</v>
      </c>
      <c r="G121" s="6"/>
      <c r="H121" s="146">
        <f>D121+E121+F121</f>
        <v>86.664850734997415</v>
      </c>
      <c r="I121" s="6"/>
      <c r="J121" s="6"/>
      <c r="K121" s="6"/>
      <c r="N121" s="3"/>
    </row>
    <row r="122" spans="1:14" hidden="1" x14ac:dyDescent="0.15">
      <c r="B122" s="79"/>
      <c r="C122" s="101"/>
      <c r="D122" s="82"/>
      <c r="N122" s="4"/>
    </row>
    <row r="123" spans="1:14" hidden="1" x14ac:dyDescent="0.15">
      <c r="A123" s="91" t="s">
        <v>191</v>
      </c>
      <c r="B123" s="91"/>
      <c r="C123" s="8"/>
      <c r="D123" s="148">
        <v>34.799999999999997</v>
      </c>
      <c r="E123" s="149">
        <v>34.799999999999997</v>
      </c>
      <c r="F123" s="150">
        <v>34.700000000000003</v>
      </c>
      <c r="G123" s="150">
        <v>33.6</v>
      </c>
      <c r="H123" s="150">
        <f>32.8+5.4+7.8+7.1+0.3</f>
        <v>53.399999999999991</v>
      </c>
      <c r="I123" s="151">
        <v>27.7</v>
      </c>
      <c r="J123" s="150">
        <v>30.8</v>
      </c>
      <c r="L123" s="20" t="s">
        <v>267</v>
      </c>
    </row>
    <row r="124" spans="1:14" hidden="1" x14ac:dyDescent="0.15">
      <c r="A124" s="91" t="s">
        <v>120</v>
      </c>
      <c r="B124" s="91"/>
      <c r="C124" s="8"/>
      <c r="D124" s="110"/>
      <c r="E124" s="8"/>
      <c r="F124" s="8"/>
      <c r="G124" s="8"/>
      <c r="H124" s="146">
        <v>0.72</v>
      </c>
      <c r="I124" s="8"/>
      <c r="J124" s="8"/>
    </row>
    <row r="125" spans="1:14" hidden="1" x14ac:dyDescent="0.15">
      <c r="A125" s="91" t="s">
        <v>121</v>
      </c>
      <c r="B125" s="91"/>
      <c r="C125" s="8"/>
      <c r="D125" s="148">
        <v>7.2</v>
      </c>
      <c r="E125" s="149">
        <v>7.4</v>
      </c>
      <c r="F125" s="150">
        <v>7.7</v>
      </c>
      <c r="G125" s="150">
        <v>8</v>
      </c>
      <c r="H125" s="150">
        <v>8.5</v>
      </c>
      <c r="I125" s="151">
        <v>7.4</v>
      </c>
      <c r="J125" s="150">
        <v>8.9</v>
      </c>
      <c r="L125" t="s">
        <v>267</v>
      </c>
    </row>
    <row r="126" spans="1:14" hidden="1" x14ac:dyDescent="0.15">
      <c r="A126" s="91" t="s">
        <v>192</v>
      </c>
      <c r="B126" s="91"/>
      <c r="C126" s="140"/>
      <c r="D126" s="110"/>
      <c r="E126" s="8"/>
      <c r="F126" s="8"/>
      <c r="G126" s="8"/>
      <c r="H126" s="8">
        <v>0.84</v>
      </c>
      <c r="I126" s="8"/>
      <c r="J126" s="8"/>
    </row>
    <row r="127" spans="1:14" hidden="1" x14ac:dyDescent="0.15">
      <c r="A127" s="91" t="s">
        <v>266</v>
      </c>
      <c r="B127" s="91"/>
      <c r="C127" s="8"/>
      <c r="D127" s="80"/>
      <c r="E127" s="6"/>
      <c r="F127" s="6"/>
      <c r="G127" s="6"/>
      <c r="H127" s="146">
        <f>(H124*H123+H126*H125)/(H125+H123)</f>
        <v>0.73647819063004849</v>
      </c>
      <c r="I127" s="6"/>
      <c r="J127" s="6"/>
    </row>
    <row r="128" spans="1:14" hidden="1" x14ac:dyDescent="0.15">
      <c r="B128" s="79"/>
      <c r="C128" s="101"/>
      <c r="D128" s="82"/>
    </row>
    <row r="129" spans="1:14" hidden="1" x14ac:dyDescent="0.15">
      <c r="B129" s="101">
        <v>1950</v>
      </c>
      <c r="C129" s="101">
        <v>1990</v>
      </c>
      <c r="D129" s="102">
        <v>2015</v>
      </c>
      <c r="E129" s="101">
        <v>2016</v>
      </c>
      <c r="F129" s="101">
        <v>2017</v>
      </c>
      <c r="G129" s="101">
        <v>2018</v>
      </c>
      <c r="H129" s="101">
        <v>2019</v>
      </c>
      <c r="I129" s="101">
        <v>2020</v>
      </c>
      <c r="J129" s="101">
        <v>2021</v>
      </c>
      <c r="K129" s="101">
        <v>2025</v>
      </c>
      <c r="N129" s="4"/>
    </row>
    <row r="130" spans="1:14" x14ac:dyDescent="0.15">
      <c r="A130" s="79" t="s">
        <v>214</v>
      </c>
      <c r="B130" s="117">
        <f>D130*B100/D100</f>
        <v>13.803228449022127</v>
      </c>
      <c r="C130" s="11">
        <f t="shared" ref="C130:K130" si="40">63.7*C98/2332</f>
        <v>40.427101200686103</v>
      </c>
      <c r="D130" s="11">
        <f t="shared" si="40"/>
        <v>59.57807461406518</v>
      </c>
      <c r="E130" s="11">
        <f t="shared" si="40"/>
        <v>60.039708404802745</v>
      </c>
      <c r="F130" s="11">
        <f t="shared" si="40"/>
        <v>61.405488850771874</v>
      </c>
      <c r="G130" s="11">
        <f t="shared" si="40"/>
        <v>62.552744425385931</v>
      </c>
      <c r="H130" s="11">
        <f t="shared" si="40"/>
        <v>63.699999999999996</v>
      </c>
      <c r="I130" s="11">
        <f t="shared" si="40"/>
        <v>63.290265866209261</v>
      </c>
      <c r="J130" s="11">
        <f t="shared" si="40"/>
        <v>68.316337907375654</v>
      </c>
      <c r="K130" s="11">
        <f t="shared" si="40"/>
        <v>68.785074499648189</v>
      </c>
      <c r="L130" t="s">
        <v>122</v>
      </c>
      <c r="N130" s="4"/>
    </row>
    <row r="131" spans="1:14" s="43" customFormat="1" x14ac:dyDescent="0.15">
      <c r="A131" s="92" t="s">
        <v>295</v>
      </c>
      <c r="B131" s="124">
        <f>C113*B100/C100</f>
        <v>3.8645760026154745</v>
      </c>
      <c r="C131" s="42">
        <f>B131+40*B113+(C113-B113)*40/2</f>
        <v>363.39896344594172</v>
      </c>
      <c r="D131" s="42">
        <f>C131+25*C113+(D113-C113)*25/2</f>
        <v>810.88465974879182</v>
      </c>
      <c r="E131" s="42">
        <f>D131+E113</f>
        <v>832.88697912368264</v>
      </c>
      <c r="F131" s="42">
        <f t="shared" ref="F131:I131" si="41">E131+F113</f>
        <v>855.20490553878699</v>
      </c>
      <c r="G131" s="42">
        <f t="shared" si="41"/>
        <v>878.06387259425753</v>
      </c>
      <c r="H131" s="42">
        <f t="shared" si="41"/>
        <v>901.10318652985006</v>
      </c>
      <c r="I131" s="42">
        <f t="shared" si="41"/>
        <v>924.81429259389733</v>
      </c>
      <c r="J131" s="42">
        <f>I131+J113</f>
        <v>947.85360652948987</v>
      </c>
      <c r="K131" s="42">
        <f>J131+4*J113+(K113-J113)*4/2</f>
        <v>1050.4709813189393</v>
      </c>
      <c r="N131" s="41"/>
    </row>
    <row r="132" spans="1:14" s="15" customFormat="1" x14ac:dyDescent="0.15">
      <c r="A132" s="82" t="s">
        <v>293</v>
      </c>
      <c r="B132" s="108">
        <f>C132*B100/C100</f>
        <v>8.7184838352656744</v>
      </c>
      <c r="C132" s="108">
        <f t="shared" ref="C132:K132" si="42">C30*C100/C8</f>
        <v>31.83699680511182</v>
      </c>
      <c r="D132" s="108">
        <f t="shared" si="42"/>
        <v>36.968690228690228</v>
      </c>
      <c r="E132" s="108">
        <f t="shared" si="42"/>
        <v>57.967315573770492</v>
      </c>
      <c r="F132" s="108">
        <f t="shared" si="42"/>
        <v>57.161818181818184</v>
      </c>
      <c r="G132" s="108">
        <f t="shared" si="42"/>
        <v>61.669822485207099</v>
      </c>
      <c r="H132" s="108">
        <f t="shared" si="42"/>
        <v>71.214774951076322</v>
      </c>
      <c r="I132" s="108">
        <f t="shared" si="42"/>
        <v>77.467257137052172</v>
      </c>
      <c r="J132" s="108">
        <f t="shared" si="42"/>
        <v>100.19654754578059</v>
      </c>
      <c r="K132" s="108">
        <f t="shared" si="42"/>
        <v>109.60937891646024</v>
      </c>
      <c r="L132" s="31" t="s">
        <v>179</v>
      </c>
    </row>
    <row r="133" spans="1:14" s="15" customFormat="1" x14ac:dyDescent="0.15">
      <c r="A133" s="82" t="s">
        <v>292</v>
      </c>
      <c r="B133" s="118">
        <f t="shared" ref="B133:K133" si="43">(B132*60*(2181/2332)*(B98/2181)/1000)</f>
        <v>6.5814832519732802E-2</v>
      </c>
      <c r="C133" s="118">
        <f t="shared" si="43"/>
        <v>1.2123178886337607</v>
      </c>
      <c r="D133" s="118">
        <f t="shared" si="43"/>
        <v>2.0745903153806924</v>
      </c>
      <c r="E133" s="118">
        <f t="shared" si="43"/>
        <v>3.2781859253296965</v>
      </c>
      <c r="F133" s="118">
        <f t="shared" si="43"/>
        <v>3.3061689692811478</v>
      </c>
      <c r="G133" s="118">
        <f t="shared" si="43"/>
        <v>3.6335478599774684</v>
      </c>
      <c r="H133" s="118">
        <f t="shared" si="43"/>
        <v>4.2728864970645795</v>
      </c>
      <c r="I133" s="118">
        <f t="shared" si="43"/>
        <v>4.6181381162920214</v>
      </c>
      <c r="J133" s="118">
        <f t="shared" si="43"/>
        <v>6.4474673776671683</v>
      </c>
      <c r="K133" s="118">
        <f t="shared" si="43"/>
        <v>7.101559775160645</v>
      </c>
      <c r="L133" s="39" t="s">
        <v>294</v>
      </c>
    </row>
    <row r="134" spans="1:14" s="43" customFormat="1" x14ac:dyDescent="0.15">
      <c r="A134" s="92" t="s">
        <v>296</v>
      </c>
      <c r="B134" s="120">
        <f>B133</f>
        <v>6.5814832519732802E-2</v>
      </c>
      <c r="C134" s="120">
        <f>B134+40*B134+(C133-B133)*40/2</f>
        <v>25.628469255589604</v>
      </c>
      <c r="D134" s="120">
        <f>C134+25*C133+(D133-C133)*25/2</f>
        <v>66.714821805770271</v>
      </c>
      <c r="E134" s="120">
        <f>D134+E133</f>
        <v>69.993007731099965</v>
      </c>
      <c r="F134" s="120">
        <f t="shared" ref="F134:H134" si="44">E134+F133</f>
        <v>73.299176700381111</v>
      </c>
      <c r="G134" s="120">
        <f t="shared" si="44"/>
        <v>76.932724560358579</v>
      </c>
      <c r="H134" s="120">
        <f t="shared" si="44"/>
        <v>81.205611057423155</v>
      </c>
      <c r="I134" s="120">
        <f>H134+I133</f>
        <v>85.823749173715171</v>
      </c>
      <c r="J134" s="120">
        <f t="shared" ref="J134" si="45">I134+J133</f>
        <v>92.271216551382338</v>
      </c>
      <c r="K134" s="120">
        <f t="shared" ref="K134" si="46">J134+K133</f>
        <v>99.372776326542976</v>
      </c>
    </row>
    <row r="135" spans="1:14" s="15" customFormat="1" x14ac:dyDescent="0.15">
      <c r="A135" s="82" t="s">
        <v>76</v>
      </c>
      <c r="B135" s="118">
        <f t="shared" ref="B135:K135" si="47">(B36/1.258)*(B98/B6)</f>
        <v>2.2575947202709886E-2</v>
      </c>
      <c r="C135" s="118">
        <f t="shared" si="47"/>
        <v>0.11388003360603487</v>
      </c>
      <c r="D135" s="118">
        <f t="shared" si="47"/>
        <v>0.41973719924095837</v>
      </c>
      <c r="E135" s="118">
        <f t="shared" si="47"/>
        <v>0.48214690641965363</v>
      </c>
      <c r="F135" s="118">
        <f t="shared" si="47"/>
        <v>0.47802185264292518</v>
      </c>
      <c r="G135" s="118">
        <f t="shared" si="47"/>
        <v>0.47243604565278335</v>
      </c>
      <c r="H135" s="118">
        <f t="shared" si="47"/>
        <v>0.48110081155558554</v>
      </c>
      <c r="I135" s="118">
        <f t="shared" si="47"/>
        <v>0.47800625230458477</v>
      </c>
      <c r="J135" s="118">
        <f t="shared" si="47"/>
        <v>0.51596617911686105</v>
      </c>
      <c r="K135" s="118">
        <f t="shared" si="47"/>
        <v>0.51950636051322074</v>
      </c>
      <c r="L135" s="27" t="s">
        <v>26</v>
      </c>
    </row>
    <row r="136" spans="1:14" s="43" customFormat="1" x14ac:dyDescent="0.15">
      <c r="A136" s="81" t="s">
        <v>297</v>
      </c>
      <c r="B136" s="120">
        <f>B135</f>
        <v>2.2575947202709886E-2</v>
      </c>
      <c r="C136" s="120">
        <f>B136+40*B135+(C135-B135)*40/2</f>
        <v>2.7516955633776048</v>
      </c>
      <c r="D136" s="152">
        <f>(C136+25*C135)+(D135-C135)*25/2</f>
        <v>9.4219109739650193</v>
      </c>
      <c r="E136" s="152">
        <f>D136+E135</f>
        <v>9.9040578803846735</v>
      </c>
      <c r="F136" s="152">
        <f>E136+F135</f>
        <v>10.382079733027599</v>
      </c>
      <c r="G136" s="152">
        <f t="shared" ref="G136:I136" si="48">F136+G135</f>
        <v>10.854515778680382</v>
      </c>
      <c r="H136" s="152">
        <f>G136+H135</f>
        <v>11.335616590235967</v>
      </c>
      <c r="I136" s="152">
        <f t="shared" si="48"/>
        <v>11.813622842540552</v>
      </c>
      <c r="J136" s="152">
        <f>I136+J135</f>
        <v>12.329589021657412</v>
      </c>
      <c r="K136" s="152">
        <f>J136+4*J135+(K135-J135)*4/2</f>
        <v>14.400534100917575</v>
      </c>
      <c r="L136" s="52" t="s">
        <v>177</v>
      </c>
    </row>
    <row r="137" spans="1:14" s="15" customFormat="1" x14ac:dyDescent="0.15">
      <c r="A137" s="82" t="s">
        <v>365</v>
      </c>
      <c r="B137" s="118">
        <f t="shared" ref="B137:K137" si="49">(B40/1.258)*(B98/B6)</f>
        <v>7.249756520661868E-2</v>
      </c>
      <c r="C137" s="118">
        <f t="shared" si="49"/>
        <v>0.36570005625697222</v>
      </c>
      <c r="D137" s="118">
        <f t="shared" si="49"/>
        <v>0.63482556712508376</v>
      </c>
      <c r="E137" s="118">
        <f t="shared" si="49"/>
        <v>0.46541498680651538</v>
      </c>
      <c r="F137" s="118">
        <f t="shared" si="49"/>
        <v>0.46962461957092339</v>
      </c>
      <c r="G137" s="118">
        <f t="shared" si="49"/>
        <v>0.50920016585618499</v>
      </c>
      <c r="H137" s="118">
        <f t="shared" si="49"/>
        <v>0.46176032148674345</v>
      </c>
      <c r="I137" s="118">
        <f t="shared" si="49"/>
        <v>0.48289306130784976</v>
      </c>
      <c r="J137" s="118">
        <f t="shared" si="49"/>
        <v>0.88951585933483779</v>
      </c>
      <c r="K137" s="118">
        <f t="shared" si="49"/>
        <v>0.91064923514054041</v>
      </c>
      <c r="L137" s="27" t="s">
        <v>26</v>
      </c>
    </row>
    <row r="138" spans="1:14" s="43" customFormat="1" x14ac:dyDescent="0.15">
      <c r="A138" s="81" t="s">
        <v>298</v>
      </c>
      <c r="B138" s="120">
        <f>B137</f>
        <v>7.249756520661868E-2</v>
      </c>
      <c r="C138" s="120">
        <f>B138+40*B137+(C137-B137)*40/2</f>
        <v>8.8364499944784374</v>
      </c>
      <c r="D138" s="120">
        <f>C138+25*C137+(D137-C137)*25/2</f>
        <v>21.34302028675414</v>
      </c>
      <c r="E138" s="120">
        <f>D138+E137</f>
        <v>21.808435273560654</v>
      </c>
      <c r="F138" s="120">
        <f t="shared" ref="F138:J138" si="50">E138+F137</f>
        <v>22.278059893131577</v>
      </c>
      <c r="G138" s="120">
        <f>F138+G137</f>
        <v>22.787260058987762</v>
      </c>
      <c r="H138" s="120">
        <f t="shared" si="50"/>
        <v>23.249020380474505</v>
      </c>
      <c r="I138" s="120">
        <f t="shared" si="50"/>
        <v>23.731913441782353</v>
      </c>
      <c r="J138" s="120">
        <f t="shared" si="50"/>
        <v>24.621429301117193</v>
      </c>
      <c r="K138" s="120">
        <f>J138+4*J137+(K137-J137)*4/2</f>
        <v>28.221759490067949</v>
      </c>
      <c r="L138" s="52" t="s">
        <v>26</v>
      </c>
    </row>
    <row r="139" spans="1:14" s="15" customFormat="1" x14ac:dyDescent="0.15">
      <c r="A139" s="82" t="s">
        <v>367</v>
      </c>
      <c r="B139" s="108">
        <f>649*B98/1520</f>
        <v>125.27407894736841</v>
      </c>
      <c r="C139" s="108">
        <f>649*C98/1520</f>
        <v>631.92105263157896</v>
      </c>
      <c r="D139" s="108">
        <v>1327.12</v>
      </c>
      <c r="E139" s="108">
        <v>1331.86</v>
      </c>
      <c r="F139" s="108">
        <v>1337.99</v>
      </c>
      <c r="G139" s="108">
        <v>1341.78</v>
      </c>
      <c r="H139" s="108">
        <v>1345.11</v>
      </c>
      <c r="I139" s="108">
        <v>1345.19</v>
      </c>
      <c r="J139" s="153">
        <f>I139*J98/I98</f>
        <v>1452.0156193353473</v>
      </c>
      <c r="K139" s="153">
        <f>I139+(J139-I139)*4/2</f>
        <v>1558.8412386706946</v>
      </c>
      <c r="L139" s="27"/>
    </row>
    <row r="140" spans="1:14" s="15" customFormat="1" x14ac:dyDescent="0.15">
      <c r="A140" s="82" t="s">
        <v>45</v>
      </c>
      <c r="B140" s="82"/>
      <c r="C140" s="118"/>
      <c r="D140" s="154"/>
      <c r="E140" s="154"/>
      <c r="F140" s="154"/>
      <c r="G140" s="154"/>
      <c r="H140" s="154"/>
      <c r="I140" s="154"/>
      <c r="J140" s="154"/>
      <c r="K140" s="154"/>
      <c r="L140" s="27"/>
    </row>
    <row r="141" spans="1:14" s="15" customFormat="1" x14ac:dyDescent="0.15">
      <c r="A141" s="82" t="s">
        <v>386</v>
      </c>
      <c r="B141" s="118">
        <f t="shared" ref="B141:K141" si="51">(((B139*1000)/100)/B101)*B98</f>
        <v>1.0045207642295133</v>
      </c>
      <c r="C141" s="118">
        <f t="shared" si="51"/>
        <v>30.570694996689973</v>
      </c>
      <c r="D141" s="118">
        <f t="shared" si="51"/>
        <v>100.76205340638913</v>
      </c>
      <c r="E141" s="118">
        <f t="shared" si="51"/>
        <v>101.93705271954872</v>
      </c>
      <c r="F141" s="118">
        <f t="shared" si="51"/>
        <v>104.81057653105671</v>
      </c>
      <c r="G141" s="118">
        <f t="shared" si="51"/>
        <v>107.21093785436895</v>
      </c>
      <c r="H141" s="118">
        <f t="shared" si="51"/>
        <v>109.59696029516583</v>
      </c>
      <c r="I141" s="118">
        <f t="shared" si="51"/>
        <v>109.15553201325217</v>
      </c>
      <c r="J141" s="118">
        <f t="shared" si="51"/>
        <v>127.48157239797602</v>
      </c>
      <c r="K141" s="118">
        <f t="shared" si="51"/>
        <v>138.45467966480487</v>
      </c>
      <c r="L141" s="31" t="s">
        <v>95</v>
      </c>
    </row>
    <row r="142" spans="1:14" s="43" customFormat="1" x14ac:dyDescent="0.15">
      <c r="A142" s="83" t="s">
        <v>387</v>
      </c>
      <c r="B142" s="120">
        <f>B141</f>
        <v>1.0045207642295133</v>
      </c>
      <c r="C142" s="120">
        <f>B142+40*B141+(C141-B141)*40/2</f>
        <v>632.50883598261919</v>
      </c>
      <c r="D142" s="120">
        <f>C142+25*C141+(D141-C141)*25/2</f>
        <v>2274.1681910211082</v>
      </c>
      <c r="E142" s="120">
        <f t="shared" ref="E142:J142" si="52">D142+E141</f>
        <v>2376.105243740657</v>
      </c>
      <c r="F142" s="120">
        <f t="shared" si="52"/>
        <v>2480.9158202717135</v>
      </c>
      <c r="G142" s="120">
        <f t="shared" si="52"/>
        <v>2588.1267581260827</v>
      </c>
      <c r="H142" s="120">
        <f t="shared" si="52"/>
        <v>2697.7237184212486</v>
      </c>
      <c r="I142" s="120">
        <f t="shared" si="52"/>
        <v>2806.8792504345006</v>
      </c>
      <c r="J142" s="120">
        <f t="shared" si="52"/>
        <v>2934.3608228324765</v>
      </c>
      <c r="K142" s="120">
        <f>J142+4*J141+(K141-J141)*4/2</f>
        <v>3466.2333269580386</v>
      </c>
      <c r="L142" s="53"/>
    </row>
    <row r="143" spans="1:14" s="15" customFormat="1" x14ac:dyDescent="0.15">
      <c r="A143" s="82" t="s">
        <v>262</v>
      </c>
      <c r="B143" s="118">
        <f>(B53/1.258)*B98/B6</f>
        <v>4.3472088334144745</v>
      </c>
      <c r="C143" s="118">
        <f>(C53/1.258)*C100/C8</f>
        <v>7.0634292823512004</v>
      </c>
      <c r="D143" s="118">
        <f t="shared" ref="D143:K143" si="53">(D53/1.258)*D98/D6</f>
        <v>22.030995501369532</v>
      </c>
      <c r="E143" s="118">
        <f t="shared" si="53"/>
        <v>23.556781218496244</v>
      </c>
      <c r="F143" s="118">
        <f t="shared" si="53"/>
        <v>22.211324884196973</v>
      </c>
      <c r="G143" s="118">
        <f t="shared" si="53"/>
        <v>22.57159159056425</v>
      </c>
      <c r="H143" s="118">
        <f t="shared" si="53"/>
        <v>22.851370446825712</v>
      </c>
      <c r="I143" s="118">
        <f t="shared" si="53"/>
        <v>20.673939658794009</v>
      </c>
      <c r="J143" s="118">
        <f t="shared" si="53"/>
        <v>22.791130418021286</v>
      </c>
      <c r="K143" s="118">
        <f t="shared" si="53"/>
        <v>24.472963997300099</v>
      </c>
    </row>
    <row r="144" spans="1:14" s="43" customFormat="1" x14ac:dyDescent="0.15">
      <c r="A144" s="81" t="s">
        <v>299</v>
      </c>
      <c r="B144" s="120">
        <f>B143</f>
        <v>4.3472088334144745</v>
      </c>
      <c r="C144" s="120">
        <f>B144+40*B143+(C143-B143)*40/2</f>
        <v>232.55997114872795</v>
      </c>
      <c r="D144" s="152">
        <f>C144+25*C143+(D143-C143)*25/2</f>
        <v>596.24028094523715</v>
      </c>
      <c r="E144" s="152">
        <f>D144+E143</f>
        <v>619.79706216373336</v>
      </c>
      <c r="F144" s="152">
        <f t="shared" ref="F144:J144" si="54">E144+F143</f>
        <v>642.00838704793034</v>
      </c>
      <c r="G144" s="152">
        <f t="shared" si="54"/>
        <v>664.57997863849459</v>
      </c>
      <c r="H144" s="152">
        <f t="shared" si="54"/>
        <v>687.43134908532033</v>
      </c>
      <c r="I144" s="152">
        <f t="shared" si="54"/>
        <v>708.10528874411432</v>
      </c>
      <c r="J144" s="152">
        <f t="shared" si="54"/>
        <v>730.89641916213566</v>
      </c>
      <c r="K144" s="152">
        <f>J144+4*J143+(K143-J143)*4/2</f>
        <v>825.42460799277842</v>
      </c>
    </row>
    <row r="145" spans="1:12" x14ac:dyDescent="0.15">
      <c r="A145" s="79" t="s">
        <v>48</v>
      </c>
      <c r="B145" s="79"/>
      <c r="C145" s="116"/>
      <c r="D145" s="118">
        <v>76.39</v>
      </c>
      <c r="E145" s="101">
        <v>82.15</v>
      </c>
      <c r="F145" s="101">
        <v>82.09</v>
      </c>
      <c r="G145" s="101">
        <v>83.49</v>
      </c>
      <c r="H145" s="101">
        <v>87.31</v>
      </c>
      <c r="I145" s="101">
        <v>80.61</v>
      </c>
      <c r="J145" s="109">
        <f>I145*J98/I98</f>
        <v>87.011484678463518</v>
      </c>
      <c r="K145" s="109">
        <f>J145*K98/J98</f>
        <v>87.608493652686562</v>
      </c>
      <c r="L145" s="30" t="s">
        <v>46</v>
      </c>
    </row>
    <row r="146" spans="1:12" x14ac:dyDescent="0.15">
      <c r="A146" s="79" t="s">
        <v>49</v>
      </c>
      <c r="B146" s="116">
        <f t="shared" ref="B146:K146" si="55">B58*B98/B6</f>
        <v>4.6123757396272662</v>
      </c>
      <c r="C146" s="116">
        <f t="shared" si="55"/>
        <v>23.266244358038019</v>
      </c>
      <c r="D146" s="118">
        <f t="shared" si="55"/>
        <v>34.287841600889678</v>
      </c>
      <c r="E146" s="116">
        <f t="shared" si="55"/>
        <v>33.86751531092613</v>
      </c>
      <c r="F146" s="116">
        <f t="shared" si="55"/>
        <v>33.938639169065191</v>
      </c>
      <c r="G146" s="116">
        <f t="shared" si="55"/>
        <v>33.471121637993697</v>
      </c>
      <c r="H146" s="116">
        <f t="shared" si="55"/>
        <v>33.621898546347317</v>
      </c>
      <c r="I146" s="116">
        <f t="shared" si="55"/>
        <v>34.480608279357561</v>
      </c>
      <c r="J146" s="116">
        <f t="shared" si="55"/>
        <v>35.600156766360513</v>
      </c>
      <c r="K146" s="116">
        <f t="shared" si="55"/>
        <v>32.42058687177618</v>
      </c>
      <c r="L146" s="30" t="s">
        <v>47</v>
      </c>
    </row>
    <row r="147" spans="1:12" s="15" customFormat="1" x14ac:dyDescent="0.15">
      <c r="A147" s="82" t="s">
        <v>50</v>
      </c>
      <c r="B147" s="118">
        <f>B300*B98/B6</f>
        <v>0.38064599719376696</v>
      </c>
      <c r="C147" s="118">
        <f>B301*C98/C6</f>
        <v>8.6896221727845759</v>
      </c>
      <c r="D147" s="118">
        <f>B303*D98/D6</f>
        <v>10.529121254067473</v>
      </c>
      <c r="E147" s="118">
        <f>B304*E98/E6</f>
        <v>10.490387680896937</v>
      </c>
      <c r="F147" s="118">
        <f>B305*F98/F6</f>
        <v>10.546104767863847</v>
      </c>
      <c r="G147" s="118">
        <f>B306*G98/G6</f>
        <v>10.566031516032632</v>
      </c>
      <c r="H147" s="118">
        <f>B307*H98/H6</f>
        <v>10.651882752322468</v>
      </c>
      <c r="I147" s="118">
        <f>B309*I98/I6</f>
        <v>11.092103720136519</v>
      </c>
      <c r="J147" s="118">
        <f>B310*J98/J6</f>
        <v>11.480014223654926</v>
      </c>
      <c r="K147" s="118">
        <f>B311*K98/K6</f>
        <v>10.866853704478229</v>
      </c>
      <c r="L147" s="31" t="s">
        <v>47</v>
      </c>
    </row>
    <row r="148" spans="1:12" s="15" customFormat="1" x14ac:dyDescent="0.15">
      <c r="A148" s="82" t="s">
        <v>400</v>
      </c>
      <c r="B148" s="118">
        <f>(B146+(B147/0.917))*E334*(B98/C98)</f>
        <v>3.263485713318147</v>
      </c>
      <c r="C148" s="108">
        <f>(C146+(C147/0.917))*E334</f>
        <v>107.2120826750848</v>
      </c>
      <c r="D148" s="108">
        <f>(D146+(D147/0.917))*E330</f>
        <v>313.36791808668232</v>
      </c>
      <c r="E148" s="108">
        <f>(E146+(E147/0.917))*F330</f>
        <v>317.86680879432112</v>
      </c>
      <c r="F148" s="108">
        <f>(F146+(F147/0.917))*G330</f>
        <v>328.26823070530133</v>
      </c>
      <c r="G148" s="108">
        <f>(G146+(G147/0.917))*H330</f>
        <v>338.50285403049691</v>
      </c>
      <c r="H148" s="108">
        <f>(H146+(H147/0.917))*I330</f>
        <v>345.32563779090447</v>
      </c>
      <c r="I148" s="108">
        <f>(I146+(I147/0.917))*F334</f>
        <v>347.94288661970512</v>
      </c>
      <c r="J148" s="108">
        <f>(J146+(J147/0.917))*G334</f>
        <v>380.58568786502235</v>
      </c>
      <c r="K148" s="108">
        <f>(K146+(K147/0.917))*H334</f>
        <v>394.69385950191537</v>
      </c>
    </row>
    <row r="149" spans="1:12" s="43" customFormat="1" x14ac:dyDescent="0.15">
      <c r="A149" s="81" t="s">
        <v>381</v>
      </c>
      <c r="B149" s="120">
        <f>B148</f>
        <v>3.263485713318147</v>
      </c>
      <c r="C149" s="42">
        <f>B149+40*B148+(C148-B148)*40/2</f>
        <v>2212.7748534813772</v>
      </c>
      <c r="D149" s="42">
        <f>C149+25*C148+(D148-B148)*25/2</f>
        <v>8769.3823250255482</v>
      </c>
      <c r="E149" s="42">
        <f t="shared" ref="E149:J149" si="56">D149+E148</f>
        <v>9087.2491338198688</v>
      </c>
      <c r="F149" s="42">
        <f t="shared" si="56"/>
        <v>9415.5173645251707</v>
      </c>
      <c r="G149" s="42">
        <f t="shared" si="56"/>
        <v>9754.0202185556682</v>
      </c>
      <c r="H149" s="42">
        <f t="shared" si="56"/>
        <v>10099.345856346572</v>
      </c>
      <c r="I149" s="42">
        <f t="shared" si="56"/>
        <v>10447.288742966277</v>
      </c>
      <c r="J149" s="42">
        <f t="shared" si="56"/>
        <v>10827.8744308313</v>
      </c>
      <c r="K149" s="42">
        <f>J149+4*J148+(K148-J148)*4/2</f>
        <v>12378.433525565175</v>
      </c>
    </row>
    <row r="150" spans="1:12" x14ac:dyDescent="0.15">
      <c r="B150" s="79"/>
      <c r="C150" s="101"/>
      <c r="D150" s="82"/>
    </row>
    <row r="151" spans="1:12" s="43" customFormat="1" x14ac:dyDescent="0.15">
      <c r="A151" s="88" t="s">
        <v>399</v>
      </c>
      <c r="B151" s="42">
        <f>B134+B136+B138+B142+B144+B149</f>
        <v>8.7761036558911965</v>
      </c>
      <c r="C151" s="42">
        <f>C134+C136+C138+C142+C144+C149</f>
        <v>3115.0602754261699</v>
      </c>
      <c r="D151" s="42">
        <f>D134+D136+D138+D142+D144+D149</f>
        <v>11737.270550058383</v>
      </c>
      <c r="E151" s="42">
        <f t="shared" ref="E151:H151" si="57">E134+E136+E138+E142+E144+E149</f>
        <v>12184.856940609305</v>
      </c>
      <c r="F151" s="42">
        <f t="shared" si="57"/>
        <v>12644.400888171354</v>
      </c>
      <c r="G151" s="42">
        <f t="shared" si="57"/>
        <v>13117.301455718272</v>
      </c>
      <c r="H151" s="42">
        <f t="shared" si="57"/>
        <v>13600.291171881276</v>
      </c>
      <c r="I151" s="42">
        <f>I134+I136+I138+I142+I144+I149</f>
        <v>14083.64256760293</v>
      </c>
      <c r="J151" s="42">
        <f>J134+J136+J138+J142+J144+J149</f>
        <v>14622.35390770007</v>
      </c>
      <c r="K151" s="42">
        <f>K134+K136+K138+K142+K144+K149</f>
        <v>16812.08653043352</v>
      </c>
      <c r="L151" s="52"/>
    </row>
    <row r="152" spans="1:12" s="15" customFormat="1" x14ac:dyDescent="0.15">
      <c r="A152" s="89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27"/>
    </row>
    <row r="153" spans="1:12" s="15" customFormat="1" x14ac:dyDescent="0.15">
      <c r="A153" s="82" t="s">
        <v>401</v>
      </c>
      <c r="B153" s="118">
        <f t="shared" ref="B153:K153" si="58">B100-(B113*0.4*1000/60)-B132</f>
        <v>108.46610152383823</v>
      </c>
      <c r="C153" s="118">
        <f t="shared" si="58"/>
        <v>396.0820473978826</v>
      </c>
      <c r="D153" s="118">
        <f t="shared" si="58"/>
        <v>435.45322754012864</v>
      </c>
      <c r="E153" s="118">
        <f t="shared" si="58"/>
        <v>404.350555260291</v>
      </c>
      <c r="F153" s="118">
        <f t="shared" si="58"/>
        <v>427.05200571748611</v>
      </c>
      <c r="G153" s="118">
        <f t="shared" si="58"/>
        <v>400.93706381165606</v>
      </c>
      <c r="H153" s="118">
        <f t="shared" si="58"/>
        <v>380.18979881163978</v>
      </c>
      <c r="I153" s="118">
        <f t="shared" si="58"/>
        <v>316.45870243596625</v>
      </c>
      <c r="J153" s="118">
        <f t="shared" si="58"/>
        <v>350.20802621693554</v>
      </c>
      <c r="K153" s="118">
        <f t="shared" si="58"/>
        <v>320.42813135599181</v>
      </c>
      <c r="L153" s="27"/>
    </row>
    <row r="154" spans="1:12" s="15" customFormat="1" x14ac:dyDescent="0.15">
      <c r="A154" s="82" t="s">
        <v>337</v>
      </c>
      <c r="B154" s="118">
        <f t="shared" ref="B154:K154" si="59">B153*60*(2181/2332)*((B98/2332)/1000)</f>
        <v>0.76577990257906603</v>
      </c>
      <c r="C154" s="118">
        <f t="shared" si="59"/>
        <v>14.105766726284285</v>
      </c>
      <c r="D154" s="118">
        <f t="shared" si="59"/>
        <v>22.854246928069934</v>
      </c>
      <c r="E154" s="118">
        <f t="shared" si="59"/>
        <v>21.386295126437044</v>
      </c>
      <c r="F154" s="118">
        <f t="shared" si="59"/>
        <v>23.100793430445609</v>
      </c>
      <c r="G154" s="118">
        <f t="shared" si="59"/>
        <v>22.093346899686491</v>
      </c>
      <c r="H154" s="118">
        <f t="shared" si="59"/>
        <v>21.334321214618861</v>
      </c>
      <c r="I154" s="118">
        <f t="shared" si="59"/>
        <v>17.643831460488823</v>
      </c>
      <c r="J154" s="118">
        <f t="shared" si="59"/>
        <v>21.07606895177198</v>
      </c>
      <c r="K154" s="118">
        <f t="shared" si="59"/>
        <v>19.416179871385719</v>
      </c>
      <c r="L154" s="27"/>
    </row>
    <row r="155" spans="1:12" s="43" customFormat="1" x14ac:dyDescent="0.15">
      <c r="A155" s="93" t="s">
        <v>340</v>
      </c>
      <c r="B155" s="120">
        <f>B154</f>
        <v>0.76577990257906603</v>
      </c>
      <c r="C155" s="120">
        <f>B155+40*B154+(C154-B154)*40/2</f>
        <v>298.1967124798461</v>
      </c>
      <c r="D155" s="120">
        <f>C155+25*C154+(D154-C154)*25/2</f>
        <v>760.19688315927385</v>
      </c>
      <c r="E155" s="120">
        <f>D155+E154</f>
        <v>781.58317828571091</v>
      </c>
      <c r="F155" s="120">
        <f t="shared" ref="F155:H155" si="60">E155+F154</f>
        <v>804.68397171615652</v>
      </c>
      <c r="G155" s="120">
        <f t="shared" si="60"/>
        <v>826.777318615843</v>
      </c>
      <c r="H155" s="120">
        <f t="shared" si="60"/>
        <v>848.11163983046185</v>
      </c>
      <c r="I155" s="120">
        <f t="shared" ref="I155" si="61">H155+I154</f>
        <v>865.75547129095071</v>
      </c>
      <c r="J155" s="120">
        <f t="shared" ref="J155:K155" si="62">I155+J154</f>
        <v>886.83154024272267</v>
      </c>
      <c r="K155" s="120">
        <f t="shared" si="62"/>
        <v>906.24772011410835</v>
      </c>
      <c r="L155" s="52"/>
    </row>
    <row r="156" spans="1:12" x14ac:dyDescent="0.15">
      <c r="B156" s="79"/>
      <c r="C156" s="116"/>
      <c r="D156" s="154"/>
      <c r="E156" s="155"/>
      <c r="F156" s="155"/>
      <c r="G156" s="155"/>
      <c r="H156" s="155"/>
      <c r="I156" s="155"/>
      <c r="J156" s="155"/>
      <c r="K156" s="155"/>
      <c r="L156" s="7"/>
    </row>
    <row r="157" spans="1:12" x14ac:dyDescent="0.15">
      <c r="A157" s="79" t="s">
        <v>3</v>
      </c>
      <c r="B157" s="79"/>
      <c r="C157" s="116"/>
      <c r="D157" s="154"/>
      <c r="E157" s="155"/>
      <c r="F157" s="155"/>
      <c r="G157" s="155"/>
      <c r="H157" s="155"/>
      <c r="I157" s="155"/>
      <c r="K157" s="156"/>
      <c r="L157" s="7"/>
    </row>
    <row r="158" spans="1:12" s="43" customFormat="1" x14ac:dyDescent="0.15">
      <c r="A158" s="88" t="s">
        <v>382</v>
      </c>
      <c r="B158" s="42">
        <f t="shared" ref="B158:K158" si="63">(B151*(2/(2-B70)))</f>
        <v>9.2380038483065228</v>
      </c>
      <c r="C158" s="42">
        <f t="shared" si="63"/>
        <v>4934.7489511701697</v>
      </c>
      <c r="D158" s="42">
        <f t="shared" si="63"/>
        <v>25515.805543605184</v>
      </c>
      <c r="E158" s="42">
        <f t="shared" si="63"/>
        <v>26779.905363976497</v>
      </c>
      <c r="F158" s="42">
        <f t="shared" si="63"/>
        <v>28098.668640380787</v>
      </c>
      <c r="G158" s="42">
        <f t="shared" si="63"/>
        <v>29812.048762996077</v>
      </c>
      <c r="H158" s="42">
        <f t="shared" si="63"/>
        <v>31265.037176738562</v>
      </c>
      <c r="I158" s="42">
        <f t="shared" si="63"/>
        <v>32752.6571339603</v>
      </c>
      <c r="J158" s="42">
        <f t="shared" si="63"/>
        <v>34815.128351666834</v>
      </c>
      <c r="K158" s="42">
        <f t="shared" si="63"/>
        <v>40511.051880562693</v>
      </c>
    </row>
    <row r="159" spans="1:12" s="15" customFormat="1" x14ac:dyDescent="0.15">
      <c r="A159" s="82" t="s">
        <v>265</v>
      </c>
      <c r="B159" s="118">
        <f>C159*B158/C158</f>
        <v>0.43606423721505522</v>
      </c>
      <c r="C159" s="118">
        <f>D159*C158/D158</f>
        <v>232.93641922808749</v>
      </c>
      <c r="D159" s="118">
        <f>(E158-D158)*D158/E158</f>
        <v>1204.4301414032802</v>
      </c>
      <c r="E159" s="118">
        <f>E158-D158</f>
        <v>1264.0998203713134</v>
      </c>
      <c r="F159" s="118">
        <f t="shared" ref="F159:G159" si="64">F158-E158</f>
        <v>1318.7632764042901</v>
      </c>
      <c r="G159" s="118">
        <f t="shared" si="64"/>
        <v>1713.38012261529</v>
      </c>
      <c r="H159" s="118">
        <f>H158-G158</f>
        <v>1452.9884137424851</v>
      </c>
      <c r="I159" s="118">
        <f>I158-H158</f>
        <v>1487.6199572217374</v>
      </c>
      <c r="J159" s="118">
        <f t="shared" ref="J159" si="65">J158-I158</f>
        <v>2062.4712177065339</v>
      </c>
      <c r="K159" s="118">
        <f>((K158-J158)/4)*(K158/J158)</f>
        <v>1656.9510476597914</v>
      </c>
    </row>
    <row r="160" spans="1:12" s="15" customFormat="1" x14ac:dyDescent="0.15">
      <c r="A160" s="82"/>
      <c r="B160" s="82"/>
      <c r="C160" s="118"/>
      <c r="D160" s="108"/>
      <c r="E160" s="108"/>
      <c r="F160" s="108"/>
      <c r="G160" s="108"/>
      <c r="H160" s="108"/>
      <c r="I160" s="108"/>
      <c r="J160" s="108"/>
      <c r="K160" s="108"/>
    </row>
    <row r="161" spans="1:13" s="43" customFormat="1" x14ac:dyDescent="0.15">
      <c r="A161" s="94" t="s">
        <v>371</v>
      </c>
      <c r="B161" s="42">
        <f t="shared" ref="B161:K161" si="66">B131+B151+B155+B158</f>
        <v>22.644463409392259</v>
      </c>
      <c r="C161" s="42">
        <f t="shared" si="66"/>
        <v>8711.4049025221284</v>
      </c>
      <c r="D161" s="42">
        <f t="shared" si="66"/>
        <v>38824.157636571632</v>
      </c>
      <c r="E161" s="42">
        <f t="shared" si="66"/>
        <v>40579.232461995198</v>
      </c>
      <c r="F161" s="42">
        <f t="shared" si="66"/>
        <v>42402.958405807083</v>
      </c>
      <c r="G161" s="42">
        <f t="shared" si="66"/>
        <v>44634.191409924446</v>
      </c>
      <c r="H161" s="42">
        <f t="shared" si="66"/>
        <v>46614.54317498015</v>
      </c>
      <c r="I161" s="42">
        <f t="shared" si="66"/>
        <v>48626.869465448079</v>
      </c>
      <c r="J161" s="42">
        <f t="shared" si="66"/>
        <v>51272.167406139117</v>
      </c>
      <c r="K161" s="42">
        <f t="shared" si="66"/>
        <v>59279.857112429265</v>
      </c>
    </row>
    <row r="162" spans="1:13" x14ac:dyDescent="0.15">
      <c r="A162" s="95"/>
      <c r="B162" s="95"/>
      <c r="C162" s="116"/>
      <c r="D162" s="108"/>
      <c r="E162" s="109"/>
      <c r="F162" s="109"/>
      <c r="G162" s="109"/>
      <c r="H162" s="109"/>
      <c r="I162" s="109"/>
      <c r="J162" s="109"/>
      <c r="K162" s="109"/>
    </row>
    <row r="163" spans="1:13" x14ac:dyDescent="0.15">
      <c r="A163" s="95"/>
      <c r="B163" s="95"/>
      <c r="C163" s="116"/>
      <c r="D163" s="108"/>
      <c r="E163" s="109"/>
      <c r="F163" s="109"/>
      <c r="G163" s="109"/>
      <c r="H163" s="109"/>
      <c r="I163" s="109"/>
      <c r="J163" s="109"/>
      <c r="K163" s="109"/>
    </row>
    <row r="164" spans="1:13" x14ac:dyDescent="0.15">
      <c r="A164" s="77" t="s">
        <v>57</v>
      </c>
      <c r="B164" s="102">
        <v>1950</v>
      </c>
      <c r="C164" s="101">
        <v>1990</v>
      </c>
      <c r="D164" s="102">
        <v>2015</v>
      </c>
      <c r="E164" s="101">
        <v>2016</v>
      </c>
      <c r="F164" s="101">
        <v>2017</v>
      </c>
      <c r="G164" s="101">
        <v>2018</v>
      </c>
      <c r="H164" s="101">
        <v>2019</v>
      </c>
      <c r="I164" s="101">
        <v>2020</v>
      </c>
      <c r="J164" s="101">
        <v>2021</v>
      </c>
      <c r="K164" s="101">
        <v>2025</v>
      </c>
    </row>
    <row r="165" spans="1:13" s="33" customFormat="1" x14ac:dyDescent="0.15">
      <c r="A165" s="82" t="s">
        <v>374</v>
      </c>
      <c r="B165" s="102">
        <f>(0.8+1.6)/2</f>
        <v>1.2000000000000002</v>
      </c>
      <c r="C165" s="102">
        <f>76.4-66.3</f>
        <v>10.100000000000009</v>
      </c>
      <c r="D165" s="117">
        <f>81.5-66.3</f>
        <v>15.200000000000003</v>
      </c>
      <c r="E165" s="117">
        <f>81.7-66.3</f>
        <v>15.400000000000006</v>
      </c>
      <c r="F165" s="117">
        <f>81.8-66.3</f>
        <v>15.5</v>
      </c>
      <c r="G165" s="117">
        <f>81.9-66.3</f>
        <v>15.600000000000009</v>
      </c>
      <c r="H165" s="117">
        <f>82-66.3</f>
        <v>15.700000000000003</v>
      </c>
      <c r="I165" s="117">
        <f>81.5-66.3</f>
        <v>15.200000000000003</v>
      </c>
      <c r="J165" s="117">
        <f>81.8-66.3</f>
        <v>15.5</v>
      </c>
      <c r="K165" s="117">
        <f>82.6-66.3</f>
        <v>16.299999999999997</v>
      </c>
      <c r="L165" s="33" t="s">
        <v>302</v>
      </c>
      <c r="M165" s="33">
        <f>(63.4+69.2)/2</f>
        <v>66.3</v>
      </c>
    </row>
    <row r="166" spans="1:13" s="43" customFormat="1" x14ac:dyDescent="0.15">
      <c r="A166" s="92" t="s">
        <v>388</v>
      </c>
      <c r="B166" s="157">
        <v>2.36</v>
      </c>
      <c r="C166" s="157">
        <v>3698</v>
      </c>
      <c r="D166" s="42">
        <v>10848</v>
      </c>
      <c r="E166" s="42">
        <v>11206</v>
      </c>
      <c r="F166" s="42">
        <v>11422</v>
      </c>
      <c r="G166" s="42">
        <v>11835</v>
      </c>
      <c r="H166" s="42">
        <v>12267</v>
      </c>
      <c r="I166" s="42">
        <v>12067</v>
      </c>
      <c r="J166" s="42">
        <v>11406</v>
      </c>
      <c r="K166" s="124">
        <v>13073</v>
      </c>
    </row>
    <row r="167" spans="1:13" x14ac:dyDescent="0.15">
      <c r="B167" s="79"/>
      <c r="C167" s="101">
        <v>3698</v>
      </c>
      <c r="D167" s="117"/>
      <c r="E167" s="11"/>
      <c r="F167" s="11"/>
      <c r="G167" s="11"/>
      <c r="H167" s="11"/>
      <c r="I167" s="11"/>
      <c r="J167" s="11"/>
      <c r="K167" s="11"/>
      <c r="L167" s="9"/>
    </row>
    <row r="168" spans="1:13" x14ac:dyDescent="0.15">
      <c r="A168" s="87" t="s">
        <v>317</v>
      </c>
      <c r="B168" s="136">
        <v>135</v>
      </c>
      <c r="C168" s="109">
        <v>253</v>
      </c>
      <c r="D168" s="108">
        <v>465</v>
      </c>
      <c r="E168" s="109">
        <v>495</v>
      </c>
      <c r="F168" s="109">
        <v>518</v>
      </c>
      <c r="G168" s="109">
        <v>524</v>
      </c>
      <c r="H168" s="109">
        <v>609</v>
      </c>
      <c r="I168" s="109">
        <v>542</v>
      </c>
      <c r="J168" s="109">
        <v>584</v>
      </c>
      <c r="K168" s="109">
        <v>749</v>
      </c>
      <c r="L168" s="9"/>
    </row>
    <row r="169" spans="1:13" s="43" customFormat="1" x14ac:dyDescent="0.15">
      <c r="A169" s="85" t="s">
        <v>372</v>
      </c>
      <c r="B169" s="133">
        <v>579</v>
      </c>
      <c r="C169" s="42">
        <v>1644</v>
      </c>
      <c r="D169" s="42">
        <v>4515</v>
      </c>
      <c r="E169" s="42">
        <v>4810</v>
      </c>
      <c r="F169" s="42">
        <v>5097</v>
      </c>
      <c r="G169" s="42">
        <v>5358</v>
      </c>
      <c r="H169" s="42">
        <v>5667</v>
      </c>
      <c r="I169" s="42">
        <v>5868</v>
      </c>
      <c r="J169" s="42">
        <v>6086</v>
      </c>
      <c r="K169" s="42">
        <v>7192</v>
      </c>
      <c r="L169" s="48"/>
    </row>
    <row r="170" spans="1:13" x14ac:dyDescent="0.15">
      <c r="B170" s="79"/>
      <c r="C170" s="101"/>
      <c r="D170" s="117"/>
      <c r="E170" s="11"/>
      <c r="F170" s="11"/>
      <c r="G170" s="11"/>
      <c r="H170" s="11"/>
      <c r="I170" s="11"/>
      <c r="J170" s="11"/>
      <c r="K170" s="11"/>
      <c r="L170" s="9"/>
    </row>
    <row r="171" spans="1:13" s="43" customFormat="1" x14ac:dyDescent="0.15">
      <c r="A171" s="88" t="s">
        <v>375</v>
      </c>
      <c r="B171" s="42">
        <f>B166+B169</f>
        <v>581.36</v>
      </c>
      <c r="C171" s="42">
        <f>C166+C169</f>
        <v>5342</v>
      </c>
      <c r="D171" s="42">
        <f>D166+D169</f>
        <v>15363</v>
      </c>
      <c r="E171" s="42">
        <f t="shared" ref="E171:J171" si="67">E166+E169</f>
        <v>16016</v>
      </c>
      <c r="F171" s="42">
        <f t="shared" si="67"/>
        <v>16519</v>
      </c>
      <c r="G171" s="42">
        <f t="shared" si="67"/>
        <v>17193</v>
      </c>
      <c r="H171" s="42">
        <f t="shared" si="67"/>
        <v>17934</v>
      </c>
      <c r="I171" s="42">
        <f t="shared" si="67"/>
        <v>17935</v>
      </c>
      <c r="J171" s="42">
        <f t="shared" si="67"/>
        <v>17492</v>
      </c>
      <c r="K171" s="42">
        <f>K166+K169</f>
        <v>20265</v>
      </c>
      <c r="L171" s="48"/>
    </row>
    <row r="172" spans="1:13" s="15" customFormat="1" x14ac:dyDescent="0.15">
      <c r="A172" s="89"/>
      <c r="B172" s="89"/>
      <c r="C172" s="108"/>
      <c r="D172" s="108"/>
      <c r="E172" s="108"/>
      <c r="F172" s="108"/>
      <c r="G172" s="108"/>
      <c r="H172" s="108"/>
      <c r="I172" s="108"/>
      <c r="J172" s="108"/>
      <c r="K172" s="108"/>
      <c r="L172" s="17"/>
    </row>
    <row r="173" spans="1:13" s="15" customFormat="1" x14ac:dyDescent="0.15">
      <c r="A173" s="89" t="s">
        <v>339</v>
      </c>
      <c r="B173" s="102">
        <v>1950</v>
      </c>
      <c r="C173" s="102">
        <v>1990</v>
      </c>
      <c r="D173" s="102">
        <v>2015</v>
      </c>
      <c r="E173" s="102">
        <v>2016</v>
      </c>
      <c r="F173" s="102">
        <v>2017</v>
      </c>
      <c r="G173" s="102">
        <v>2018</v>
      </c>
      <c r="H173" s="102">
        <v>2019</v>
      </c>
      <c r="I173" s="102">
        <v>2020</v>
      </c>
      <c r="J173" s="102">
        <v>2021</v>
      </c>
      <c r="K173" s="102">
        <v>2025</v>
      </c>
      <c r="L173" s="17"/>
    </row>
    <row r="174" spans="1:13" s="15" customFormat="1" x14ac:dyDescent="0.15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17"/>
    </row>
    <row r="175" spans="1:13" s="60" customFormat="1" x14ac:dyDescent="0.15">
      <c r="A175" s="90" t="s">
        <v>5</v>
      </c>
      <c r="B175" s="137">
        <f>(B98-(C168*B189/C189))+(B171-B161)</f>
        <v>848.05785899497926</v>
      </c>
      <c r="C175" s="137">
        <f t="shared" ref="C175:K175" si="68">(C98-C168)+(C171-C161)</f>
        <v>-2142.4049025221284</v>
      </c>
      <c r="D175" s="137">
        <f t="shared" si="68"/>
        <v>-21745.057636571633</v>
      </c>
      <c r="E175" s="137">
        <f t="shared" si="68"/>
        <v>-22860.232461995198</v>
      </c>
      <c r="F175" s="137">
        <f t="shared" si="68"/>
        <v>-24153.958405807083</v>
      </c>
      <c r="G175" s="137">
        <f t="shared" si="68"/>
        <v>-25675.191409924446</v>
      </c>
      <c r="H175" s="137">
        <f t="shared" si="68"/>
        <v>-26957.54317498015</v>
      </c>
      <c r="I175" s="137">
        <f t="shared" si="68"/>
        <v>-28916.869465448079</v>
      </c>
      <c r="J175" s="137">
        <f t="shared" si="68"/>
        <v>-31863.167406139117</v>
      </c>
      <c r="K175" s="137">
        <f t="shared" si="68"/>
        <v>-37245.697085220796</v>
      </c>
    </row>
    <row r="176" spans="1:13" s="58" customFormat="1" x14ac:dyDescent="0.15">
      <c r="A176" s="90" t="s">
        <v>341</v>
      </c>
      <c r="B176" s="137">
        <f t="shared" ref="B176:K176" si="69">B171-B161</f>
        <v>558.71553659060771</v>
      </c>
      <c r="C176" s="137">
        <f t="shared" si="69"/>
        <v>-3369.4049025221284</v>
      </c>
      <c r="D176" s="137">
        <f t="shared" si="69"/>
        <v>-23461.157636571632</v>
      </c>
      <c r="E176" s="137">
        <f t="shared" si="69"/>
        <v>-24563.232461995198</v>
      </c>
      <c r="F176" s="137">
        <f t="shared" si="69"/>
        <v>-25883.958405807083</v>
      </c>
      <c r="G176" s="137">
        <f t="shared" si="69"/>
        <v>-27441.191409924446</v>
      </c>
      <c r="H176" s="137">
        <f t="shared" si="69"/>
        <v>-28680.54317498015</v>
      </c>
      <c r="I176" s="137">
        <f t="shared" si="69"/>
        <v>-30691.869465448079</v>
      </c>
      <c r="J176" s="137">
        <f t="shared" si="69"/>
        <v>-33780.167406139117</v>
      </c>
      <c r="K176" s="137">
        <f t="shared" si="69"/>
        <v>-39014.857112429265</v>
      </c>
      <c r="L176" s="61"/>
    </row>
    <row r="177" spans="1:22" s="15" customFormat="1" x14ac:dyDescent="0.15">
      <c r="A177" s="89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7"/>
    </row>
    <row r="178" spans="1:22" s="58" customFormat="1" x14ac:dyDescent="0.15">
      <c r="A178" s="90" t="s">
        <v>312</v>
      </c>
      <c r="B178" s="158">
        <f t="shared" ref="B178:K178" si="70">B176*1000000000/(B96*1000)</f>
        <v>13340.867635878883</v>
      </c>
      <c r="C178" s="158">
        <f t="shared" si="70"/>
        <v>-58097.194677600666</v>
      </c>
      <c r="D178" s="158">
        <f t="shared" si="70"/>
        <v>-353213.6586759151</v>
      </c>
      <c r="E178" s="158">
        <f t="shared" si="70"/>
        <v>-368806.22897203086</v>
      </c>
      <c r="F178" s="158">
        <f t="shared" si="70"/>
        <v>-387635.28328102379</v>
      </c>
      <c r="G178" s="158">
        <f t="shared" si="70"/>
        <v>-409618.93076672504</v>
      </c>
      <c r="H178" s="158">
        <f t="shared" si="70"/>
        <v>-426425.75121145661</v>
      </c>
      <c r="I178" s="158">
        <f t="shared" si="70"/>
        <v>-455004.43955062825</v>
      </c>
      <c r="J178" s="158">
        <f t="shared" si="70"/>
        <v>-499514.49747344392</v>
      </c>
      <c r="K178" s="158">
        <f t="shared" si="70"/>
        <v>-572989.53021632053</v>
      </c>
    </row>
    <row r="179" spans="1:22" s="58" customFormat="1" x14ac:dyDescent="0.15">
      <c r="A179" s="90" t="s">
        <v>222</v>
      </c>
      <c r="B179" s="137">
        <f t="shared" ref="B179:K179" si="71">1000000*B175/B96</f>
        <v>20249.710100166649</v>
      </c>
      <c r="C179" s="137">
        <f t="shared" si="71"/>
        <v>-36940.563185773644</v>
      </c>
      <c r="D179" s="137">
        <f t="shared" si="71"/>
        <v>-327377.3393841142</v>
      </c>
      <c r="E179" s="137">
        <f t="shared" si="71"/>
        <v>-343236.42626340344</v>
      </c>
      <c r="F179" s="137">
        <f t="shared" si="71"/>
        <v>-361726.99562415137</v>
      </c>
      <c r="G179" s="137">
        <f t="shared" si="71"/>
        <v>-383257.57418683491</v>
      </c>
      <c r="H179" s="137">
        <f t="shared" si="71"/>
        <v>-400807.98083469842</v>
      </c>
      <c r="I179" s="137">
        <f t="shared" si="71"/>
        <v>-428690.21059459896</v>
      </c>
      <c r="J179" s="137">
        <f t="shared" si="71"/>
        <v>-471167.41203293286</v>
      </c>
      <c r="K179" s="137">
        <f t="shared" si="71"/>
        <v>-547006.85982113075</v>
      </c>
      <c r="T179" s="59"/>
      <c r="U179" s="59"/>
      <c r="V179" s="59"/>
    </row>
    <row r="180" spans="1:22" s="58" customFormat="1" x14ac:dyDescent="0.15">
      <c r="A180" s="90" t="s">
        <v>345</v>
      </c>
      <c r="B180" s="158">
        <f t="shared" ref="B180:K180" si="72">1000*B175/B102</f>
        <v>29226.502187060269</v>
      </c>
      <c r="C180" s="158">
        <f t="shared" si="72"/>
        <v>-53316.489243535711</v>
      </c>
      <c r="D180" s="158">
        <f t="shared" si="72"/>
        <v>-472505.2594913466</v>
      </c>
      <c r="E180" s="158">
        <f t="shared" si="72"/>
        <v>-495394.75445545046</v>
      </c>
      <c r="F180" s="158">
        <f t="shared" si="72"/>
        <v>-522082.28050835134</v>
      </c>
      <c r="G180" s="158">
        <f t="shared" si="72"/>
        <v>-553157.46619438077</v>
      </c>
      <c r="H180" s="158">
        <f t="shared" si="72"/>
        <v>-578488.05096523918</v>
      </c>
      <c r="I180" s="158">
        <f t="shared" si="72"/>
        <v>-618730.60481054801</v>
      </c>
      <c r="J180" s="158">
        <f t="shared" si="72"/>
        <v>-680038.15018263937</v>
      </c>
      <c r="K180" s="158">
        <f t="shared" si="72"/>
        <v>-789497.58321565704</v>
      </c>
    </row>
    <row r="181" spans="1:22" x14ac:dyDescent="0.15">
      <c r="B181" s="79"/>
      <c r="C181" s="101"/>
      <c r="D181" s="82"/>
    </row>
    <row r="182" spans="1:22" x14ac:dyDescent="0.15">
      <c r="A182" s="77" t="s">
        <v>344</v>
      </c>
      <c r="B182" s="79"/>
      <c r="C182" s="101"/>
      <c r="D182" s="82"/>
    </row>
    <row r="183" spans="1:22" x14ac:dyDescent="0.15">
      <c r="B183" s="79"/>
      <c r="C183" s="101"/>
      <c r="D183" s="82"/>
    </row>
    <row r="184" spans="1:22" x14ac:dyDescent="0.15">
      <c r="A184" s="77" t="s">
        <v>13</v>
      </c>
      <c r="B184" s="79"/>
      <c r="C184" s="101"/>
      <c r="D184" s="82"/>
    </row>
    <row r="185" spans="1:22" x14ac:dyDescent="0.15">
      <c r="B185" s="101">
        <v>1950</v>
      </c>
      <c r="C185" s="101">
        <v>1990</v>
      </c>
      <c r="D185" s="102">
        <v>2015</v>
      </c>
      <c r="E185" s="101">
        <v>2016</v>
      </c>
      <c r="F185" s="101">
        <v>2017</v>
      </c>
      <c r="G185" s="101">
        <v>2018</v>
      </c>
      <c r="H185" s="101">
        <v>2019</v>
      </c>
      <c r="I185" s="101">
        <v>2020</v>
      </c>
      <c r="J185" s="101">
        <v>2021</v>
      </c>
      <c r="K185" s="101">
        <v>2025</v>
      </c>
    </row>
    <row r="186" spans="1:22" s="67" customFormat="1" x14ac:dyDescent="0.15">
      <c r="A186" s="78" t="s">
        <v>314</v>
      </c>
      <c r="B186" s="104">
        <f>1087-(1183-1087)*18/7</f>
        <v>840.14285714285711</v>
      </c>
      <c r="C186" s="103">
        <v>16582</v>
      </c>
      <c r="D186" s="103">
        <v>15971</v>
      </c>
      <c r="E186" s="103">
        <v>16044</v>
      </c>
      <c r="F186" s="103">
        <v>16276</v>
      </c>
      <c r="G186" s="103">
        <v>16509</v>
      </c>
      <c r="H186" s="103">
        <v>16741</v>
      </c>
      <c r="I186" s="103">
        <v>16973</v>
      </c>
      <c r="J186" s="103">
        <v>17206</v>
      </c>
      <c r="K186" s="103">
        <v>18135</v>
      </c>
      <c r="L186" s="67" t="s">
        <v>36</v>
      </c>
    </row>
    <row r="187" spans="1:22" s="67" customFormat="1" x14ac:dyDescent="0.15">
      <c r="A187" s="78" t="s">
        <v>315</v>
      </c>
      <c r="B187" s="104">
        <v>226</v>
      </c>
      <c r="C187" s="103">
        <v>1967</v>
      </c>
      <c r="D187" s="103">
        <v>3148</v>
      </c>
      <c r="E187" s="103">
        <v>3205</v>
      </c>
      <c r="F187" s="103">
        <v>3150</v>
      </c>
      <c r="G187" s="103">
        <v>3039</v>
      </c>
      <c r="H187" s="103">
        <v>2984</v>
      </c>
      <c r="I187" s="103">
        <v>2928</v>
      </c>
      <c r="J187" s="103">
        <v>2707</v>
      </c>
      <c r="K187" s="103"/>
    </row>
    <row r="188" spans="1:22" s="67" customFormat="1" ht="13" customHeight="1" x14ac:dyDescent="0.15">
      <c r="A188" s="78" t="s">
        <v>313</v>
      </c>
      <c r="B188" s="104">
        <v>1737</v>
      </c>
      <c r="C188" s="104">
        <v>132000</v>
      </c>
      <c r="D188" s="104">
        <v>142000</v>
      </c>
      <c r="E188" s="104">
        <v>155000</v>
      </c>
      <c r="F188" s="104">
        <v>157000</v>
      </c>
      <c r="G188" s="104">
        <v>163000</v>
      </c>
      <c r="H188" s="104">
        <v>165000</v>
      </c>
      <c r="I188" s="104">
        <v>170000</v>
      </c>
      <c r="J188" s="104">
        <v>168000</v>
      </c>
      <c r="K188" s="104">
        <v>174000</v>
      </c>
      <c r="L188" s="72" t="s">
        <v>9</v>
      </c>
    </row>
    <row r="189" spans="1:22" s="67" customFormat="1" x14ac:dyDescent="0.15">
      <c r="A189" s="78" t="s">
        <v>316</v>
      </c>
      <c r="B189" s="104">
        <v>5.87</v>
      </c>
      <c r="C189" s="104">
        <v>366</v>
      </c>
      <c r="D189" s="104">
        <v>466</v>
      </c>
      <c r="E189" s="104">
        <v>506</v>
      </c>
      <c r="F189" s="104">
        <v>523</v>
      </c>
      <c r="G189" s="104">
        <v>550</v>
      </c>
      <c r="H189" s="104">
        <v>560</v>
      </c>
      <c r="I189" s="104">
        <v>633</v>
      </c>
      <c r="J189" s="104">
        <v>643</v>
      </c>
      <c r="K189" s="104">
        <v>628</v>
      </c>
      <c r="L189" s="67" t="s">
        <v>22</v>
      </c>
    </row>
    <row r="190" spans="1:22" x14ac:dyDescent="0.15">
      <c r="C190" s="159"/>
      <c r="D190" s="160"/>
      <c r="E190" s="159"/>
      <c r="F190" s="159"/>
      <c r="G190" s="159"/>
      <c r="H190" s="159"/>
      <c r="I190" s="159"/>
      <c r="J190" s="159"/>
      <c r="K190" s="159"/>
      <c r="L190" s="14"/>
    </row>
    <row r="191" spans="1:22" x14ac:dyDescent="0.15">
      <c r="A191" s="77" t="s">
        <v>61</v>
      </c>
      <c r="B191" s="101">
        <v>1950</v>
      </c>
      <c r="C191" s="101">
        <v>1990</v>
      </c>
      <c r="D191" s="102">
        <v>2015</v>
      </c>
      <c r="E191" s="101">
        <v>2016</v>
      </c>
      <c r="F191" s="101">
        <v>2017</v>
      </c>
      <c r="G191" s="101">
        <v>2018</v>
      </c>
      <c r="H191" s="101">
        <v>2019</v>
      </c>
      <c r="I191" s="101">
        <v>2020</v>
      </c>
      <c r="J191" s="101">
        <v>2021</v>
      </c>
      <c r="K191" s="101">
        <v>2025</v>
      </c>
      <c r="L191" s="14"/>
    </row>
    <row r="192" spans="1:22" s="15" customFormat="1" x14ac:dyDescent="0.15">
      <c r="A192" s="82" t="s">
        <v>278</v>
      </c>
      <c r="B192" s="117">
        <f t="shared" ref="B192:K192" si="73">B113*B189/B98</f>
        <v>7.7317863447010346E-2</v>
      </c>
      <c r="C192" s="117">
        <f t="shared" si="73"/>
        <v>3.4898949143618965</v>
      </c>
      <c r="D192" s="117">
        <f t="shared" si="73"/>
        <v>4.633445485287039</v>
      </c>
      <c r="E192" s="117">
        <f t="shared" si="73"/>
        <v>5.0651381272496474</v>
      </c>
      <c r="F192" s="117">
        <f t="shared" si="73"/>
        <v>5.1922933786030159</v>
      </c>
      <c r="G192" s="117">
        <f t="shared" si="73"/>
        <v>5.4901449259863719</v>
      </c>
      <c r="H192" s="117">
        <f t="shared" si="73"/>
        <v>5.5325968284441878</v>
      </c>
      <c r="I192" s="117">
        <f t="shared" si="73"/>
        <v>6.4778291491333198</v>
      </c>
      <c r="J192" s="117">
        <f t="shared" si="73"/>
        <v>5.9233422073514719</v>
      </c>
      <c r="K192" s="117">
        <f t="shared" si="73"/>
        <v>7.0500549371421224</v>
      </c>
    </row>
    <row r="193" spans="1:22" s="43" customFormat="1" x14ac:dyDescent="0.15">
      <c r="A193" s="92" t="s">
        <v>308</v>
      </c>
      <c r="B193" s="124">
        <f>B192</f>
        <v>7.7317863447010346E-2</v>
      </c>
      <c r="C193" s="124">
        <f>B193+40*B192+(C192-B192)*40/2</f>
        <v>71.421573419625147</v>
      </c>
      <c r="D193" s="124">
        <f>C193+C192*25+(D192-C192)*25/2</f>
        <v>172.96332841523684</v>
      </c>
      <c r="E193" s="124">
        <f>D193+E192</f>
        <v>178.02846654248648</v>
      </c>
      <c r="F193" s="124">
        <f t="shared" ref="F193:J193" si="74">E193+F192</f>
        <v>183.2207599210895</v>
      </c>
      <c r="G193" s="124">
        <f t="shared" si="74"/>
        <v>188.71090484707588</v>
      </c>
      <c r="H193" s="124">
        <f t="shared" si="74"/>
        <v>194.24350167552006</v>
      </c>
      <c r="I193" s="124">
        <f t="shared" si="74"/>
        <v>200.72133082465339</v>
      </c>
      <c r="J193" s="124">
        <f t="shared" si="74"/>
        <v>206.64467303200487</v>
      </c>
      <c r="K193" s="124">
        <f>J193+4*K192+4/2*(K192-J192)</f>
        <v>237.09831824015467</v>
      </c>
    </row>
    <row r="194" spans="1:22" x14ac:dyDescent="0.15">
      <c r="B194" s="172"/>
      <c r="C194" s="11"/>
      <c r="D194" s="173"/>
      <c r="E194" s="172"/>
      <c r="F194" s="172"/>
      <c r="G194" s="172"/>
      <c r="H194" s="172"/>
      <c r="I194" s="172"/>
      <c r="J194" s="172"/>
      <c r="K194" s="172"/>
    </row>
    <row r="195" spans="1:22" x14ac:dyDescent="0.15">
      <c r="A195" s="79" t="s">
        <v>272</v>
      </c>
      <c r="B195" s="117">
        <f t="shared" ref="B195:K195" si="75">B132*B188/B100</f>
        <v>105.94035143769968</v>
      </c>
      <c r="C195" s="117">
        <f t="shared" si="75"/>
        <v>8050.7348242811504</v>
      </c>
      <c r="D195" s="117">
        <f t="shared" si="75"/>
        <v>8508.191268191269</v>
      </c>
      <c r="E195" s="117">
        <f t="shared" si="75"/>
        <v>14753.586065573771</v>
      </c>
      <c r="F195" s="117">
        <f t="shared" si="75"/>
        <v>14177.575757575758</v>
      </c>
      <c r="G195" s="117">
        <f t="shared" si="75"/>
        <v>16345.009861932936</v>
      </c>
      <c r="H195" s="117">
        <f t="shared" si="75"/>
        <v>19422.211350293543</v>
      </c>
      <c r="I195" s="117">
        <f t="shared" si="75"/>
        <v>23857.669770468965</v>
      </c>
      <c r="J195" s="117">
        <f t="shared" si="75"/>
        <v>27869.238390217117</v>
      </c>
      <c r="K195" s="117">
        <f t="shared" si="75"/>
        <v>30835.944917484372</v>
      </c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x14ac:dyDescent="0.15">
      <c r="A196" s="82" t="s">
        <v>307</v>
      </c>
      <c r="B196" s="117">
        <f t="shared" ref="B196:K196" si="76">(B195*60*(466/560)*(B188/165000)/1000000)</f>
        <v>5.5683486979502915E-5</v>
      </c>
      <c r="C196" s="117">
        <f t="shared" si="76"/>
        <v>0.32156935098128714</v>
      </c>
      <c r="D196" s="117">
        <f t="shared" si="76"/>
        <v>0.36558703415503424</v>
      </c>
      <c r="E196" s="117">
        <f t="shared" si="76"/>
        <v>0.69198150747817766</v>
      </c>
      <c r="F196" s="117">
        <f t="shared" si="76"/>
        <v>0.67354532310114135</v>
      </c>
      <c r="G196" s="117">
        <f t="shared" si="76"/>
        <v>0.80619107733292328</v>
      </c>
      <c r="H196" s="117">
        <f t="shared" si="76"/>
        <v>0.96972326670394193</v>
      </c>
      <c r="I196" s="117">
        <f t="shared" si="76"/>
        <v>1.2272757137769814</v>
      </c>
      <c r="J196" s="117">
        <f t="shared" si="76"/>
        <v>1.4167707370735829</v>
      </c>
      <c r="K196" s="117">
        <f t="shared" si="76"/>
        <v>1.6235725699281187</v>
      </c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s="54" customFormat="1" x14ac:dyDescent="0.15">
      <c r="A197" s="92" t="s">
        <v>309</v>
      </c>
      <c r="B197" s="124">
        <f>B196</f>
        <v>5.5683486979502915E-5</v>
      </c>
      <c r="C197" s="124">
        <f>B197+40*B196+(C196-B196)*40/2</f>
        <v>6.4325563728523134</v>
      </c>
      <c r="D197" s="124">
        <f>(C197+25*(D196-C196)*25/2)</f>
        <v>20.188082364648285</v>
      </c>
      <c r="E197" s="124">
        <f>D197+E196</f>
        <v>20.880063872126463</v>
      </c>
      <c r="F197" s="124">
        <f t="shared" ref="F197:I197" si="77">E197+F196</f>
        <v>21.553609195227605</v>
      </c>
      <c r="G197" s="124">
        <f t="shared" si="77"/>
        <v>22.359800272560527</v>
      </c>
      <c r="H197" s="124">
        <f t="shared" si="77"/>
        <v>23.329523539264468</v>
      </c>
      <c r="I197" s="124">
        <f t="shared" si="77"/>
        <v>24.556799253041451</v>
      </c>
      <c r="J197" s="124">
        <f>I197+J196</f>
        <v>25.973569990115035</v>
      </c>
      <c r="K197" s="124">
        <f t="shared" ref="K197" si="78">J197+K196</f>
        <v>27.597142560043153</v>
      </c>
    </row>
    <row r="198" spans="1:22" s="13" customFormat="1" x14ac:dyDescent="0.15">
      <c r="A198" s="89"/>
      <c r="B198" s="174"/>
      <c r="C198" s="11"/>
      <c r="D198" s="172"/>
      <c r="E198" s="11"/>
      <c r="F198" s="11"/>
      <c r="G198" s="11"/>
      <c r="H198" s="11"/>
      <c r="I198" s="11"/>
      <c r="J198" s="11"/>
      <c r="K198" s="11"/>
    </row>
    <row r="199" spans="1:22" s="13" customFormat="1" x14ac:dyDescent="0.15">
      <c r="A199" s="82" t="s">
        <v>383</v>
      </c>
      <c r="B199" s="11">
        <f t="shared" ref="B199:K199" si="79">B135*B189/B98</f>
        <v>4.5167283599150326E-4</v>
      </c>
      <c r="C199" s="11">
        <f t="shared" si="79"/>
        <v>2.8162224526897813E-2</v>
      </c>
      <c r="D199" s="117">
        <f t="shared" si="79"/>
        <v>8.9678389274350845E-2</v>
      </c>
      <c r="E199" s="11">
        <f t="shared" si="79"/>
        <v>0.11099469274265002</v>
      </c>
      <c r="F199" s="11">
        <f t="shared" si="79"/>
        <v>0.11121237941826061</v>
      </c>
      <c r="G199" s="11">
        <f t="shared" si="79"/>
        <v>0.11346717253669471</v>
      </c>
      <c r="H199" s="11">
        <f t="shared" si="79"/>
        <v>0.11553021203736188</v>
      </c>
      <c r="I199" s="11">
        <f t="shared" si="79"/>
        <v>0.13059040039223227</v>
      </c>
      <c r="J199" s="11">
        <f t="shared" si="79"/>
        <v>0.13265343989289952</v>
      </c>
      <c r="K199" s="11">
        <f t="shared" si="79"/>
        <v>0.12955888064189872</v>
      </c>
    </row>
    <row r="200" spans="1:22" s="54" customFormat="1" x14ac:dyDescent="0.15">
      <c r="A200" s="81" t="s">
        <v>384</v>
      </c>
      <c r="B200" s="124">
        <f>B199</f>
        <v>4.5167283599150326E-4</v>
      </c>
      <c r="C200" s="124">
        <f>B200+40*B199+(C199-B199)*40/2</f>
        <v>0.57272962009377781</v>
      </c>
      <c r="D200" s="124">
        <f>C200+25*C199+(D199-C199)*25/2</f>
        <v>2.045737292609386</v>
      </c>
      <c r="E200" s="124">
        <f>D200+E199</f>
        <v>2.1567319853520361</v>
      </c>
      <c r="F200" s="124">
        <f t="shared" ref="F200:J200" si="80">E200+F199</f>
        <v>2.2679443647702966</v>
      </c>
      <c r="G200" s="124">
        <f t="shared" si="80"/>
        <v>2.3814115373069913</v>
      </c>
      <c r="H200" s="124">
        <f t="shared" si="80"/>
        <v>2.4969417493443533</v>
      </c>
      <c r="I200" s="124">
        <f t="shared" si="80"/>
        <v>2.6275321497365858</v>
      </c>
      <c r="J200" s="124">
        <f t="shared" si="80"/>
        <v>2.7601855896294851</v>
      </c>
      <c r="K200" s="124">
        <f>J200+4*J199+(K199-J199)*4/2</f>
        <v>3.2846102306990814</v>
      </c>
    </row>
    <row r="201" spans="1:22" s="36" customFormat="1" x14ac:dyDescent="0.15">
      <c r="A201" s="89"/>
      <c r="B201" s="174"/>
      <c r="C201" s="117"/>
      <c r="D201" s="117"/>
      <c r="E201" s="117"/>
      <c r="F201" s="117"/>
      <c r="G201" s="117"/>
      <c r="H201" s="117"/>
      <c r="I201" s="117"/>
      <c r="J201" s="117"/>
      <c r="K201" s="117"/>
    </row>
    <row r="202" spans="1:22" s="36" customFormat="1" x14ac:dyDescent="0.15">
      <c r="A202" s="82" t="s">
        <v>376</v>
      </c>
      <c r="B202" s="117">
        <f t="shared" ref="B202:K202" si="81">B137*B189/B98</f>
        <v>1.4504454933975859E-3</v>
      </c>
      <c r="C202" s="117">
        <f t="shared" si="81"/>
        <v>9.043663553381881E-2</v>
      </c>
      <c r="D202" s="117">
        <f t="shared" si="81"/>
        <v>0.13563280651060888</v>
      </c>
      <c r="E202" s="117">
        <f t="shared" si="81"/>
        <v>0.10714284955600399</v>
      </c>
      <c r="F202" s="117">
        <f t="shared" si="81"/>
        <v>0.1092587526848723</v>
      </c>
      <c r="G202" s="117">
        <f t="shared" si="81"/>
        <v>0.12229698306589597</v>
      </c>
      <c r="H202" s="117">
        <f t="shared" si="81"/>
        <v>0.11088584049424371</v>
      </c>
      <c r="I202" s="117">
        <f t="shared" si="81"/>
        <v>0.1319254673318381</v>
      </c>
      <c r="J202" s="117">
        <f t="shared" si="81"/>
        <v>0.22869200222003228</v>
      </c>
      <c r="K202" s="117">
        <f t="shared" si="81"/>
        <v>0.22710539182937903</v>
      </c>
    </row>
    <row r="203" spans="1:22" s="54" customFormat="1" x14ac:dyDescent="0.15">
      <c r="A203" s="81" t="s">
        <v>323</v>
      </c>
      <c r="B203" s="124">
        <f>B202</f>
        <v>1.4504454933975859E-3</v>
      </c>
      <c r="C203" s="124">
        <f>B203+40*B202+(C202-B202)*40/2</f>
        <v>1.8391920660377257</v>
      </c>
      <c r="D203" s="124">
        <f>C203+25*C202+(D202-C202)*25/2</f>
        <v>4.6650600915930722</v>
      </c>
      <c r="E203" s="124">
        <f>D203+E202</f>
        <v>4.7722029411490761</v>
      </c>
      <c r="F203" s="124">
        <f t="shared" ref="F203:I203" si="82">E203+F202</f>
        <v>4.8814616938339483</v>
      </c>
      <c r="G203" s="124">
        <f t="shared" si="82"/>
        <v>5.0037586768998441</v>
      </c>
      <c r="H203" s="124">
        <f t="shared" si="82"/>
        <v>5.1146445173940878</v>
      </c>
      <c r="I203" s="124">
        <f t="shared" si="82"/>
        <v>5.2465699847259257</v>
      </c>
      <c r="J203" s="124">
        <f>I203+J202</f>
        <v>5.4752619869459576</v>
      </c>
      <c r="K203" s="124">
        <f>J203+4*J202+(K202-J202)*(4/2)</f>
        <v>6.3868567750447802</v>
      </c>
    </row>
    <row r="204" spans="1:22" s="36" customFormat="1" x14ac:dyDescent="0.15">
      <c r="A204" s="89"/>
      <c r="B204" s="174"/>
      <c r="C204" s="117"/>
      <c r="D204" s="117"/>
      <c r="E204" s="117"/>
      <c r="F204" s="117"/>
      <c r="G204" s="117"/>
      <c r="H204" s="117"/>
      <c r="I204" s="117"/>
      <c r="J204" s="117"/>
      <c r="K204" s="117"/>
    </row>
    <row r="205" spans="1:22" s="36" customFormat="1" x14ac:dyDescent="0.15">
      <c r="A205" s="82" t="s">
        <v>389</v>
      </c>
      <c r="B205" s="117">
        <f t="shared" ref="B205:K205" si="83">B141*B189/(B98)</f>
        <v>2.0097262733562521E-2</v>
      </c>
      <c r="C205" s="117">
        <f t="shared" si="83"/>
        <v>7.5600502491814394</v>
      </c>
      <c r="D205" s="117">
        <f t="shared" si="83"/>
        <v>21.528181599824556</v>
      </c>
      <c r="E205" s="117">
        <f t="shared" si="83"/>
        <v>23.466855630614948</v>
      </c>
      <c r="F205" s="117">
        <f t="shared" si="83"/>
        <v>24.384311176931789</v>
      </c>
      <c r="G205" s="117">
        <f t="shared" si="83"/>
        <v>25.749351886420492</v>
      </c>
      <c r="H205" s="117">
        <f t="shared" si="83"/>
        <v>26.318309504842567</v>
      </c>
      <c r="I205" s="117">
        <f t="shared" si="83"/>
        <v>29.821084058864315</v>
      </c>
      <c r="J205" s="117">
        <f t="shared" si="83"/>
        <v>32.775150360615193</v>
      </c>
      <c r="K205" s="117">
        <f t="shared" si="83"/>
        <v>34.528996525247116</v>
      </c>
    </row>
    <row r="206" spans="1:22" s="54" customFormat="1" x14ac:dyDescent="0.15">
      <c r="A206" s="83" t="s">
        <v>390</v>
      </c>
      <c r="B206" s="124">
        <f>B205</f>
        <v>2.0097262733562521E-2</v>
      </c>
      <c r="C206" s="124">
        <f>B206+40*B205+(C205-B205)*40/2</f>
        <v>151.6230475010336</v>
      </c>
      <c r="D206" s="124">
        <f>C206+25*C205+(D205-C205)*25/2</f>
        <v>515.22594561360847</v>
      </c>
      <c r="E206" s="124">
        <f>D206+E205</f>
        <v>538.69280124422346</v>
      </c>
      <c r="F206" s="124">
        <f t="shared" ref="F206:H206" si="84">E206+F205</f>
        <v>563.07711242115522</v>
      </c>
      <c r="G206" s="124">
        <f t="shared" si="84"/>
        <v>588.82646430757575</v>
      </c>
      <c r="H206" s="124">
        <f t="shared" si="84"/>
        <v>615.14477381241829</v>
      </c>
      <c r="I206" s="124">
        <f>H206+I205</f>
        <v>644.96585787128265</v>
      </c>
      <c r="J206" s="124">
        <f t="shared" ref="J206" si="85">I206+J205</f>
        <v>677.74100823189781</v>
      </c>
      <c r="K206" s="124">
        <f t="shared" ref="K206" si="86">J206+K205</f>
        <v>712.27000475714487</v>
      </c>
    </row>
    <row r="207" spans="1:22" s="36" customFormat="1" x14ac:dyDescent="0.15">
      <c r="A207" s="89"/>
      <c r="B207" s="174"/>
      <c r="C207" s="117"/>
      <c r="D207" s="117"/>
      <c r="E207" s="117"/>
      <c r="F207" s="117"/>
      <c r="G207" s="117"/>
      <c r="H207" s="117"/>
      <c r="I207" s="117"/>
      <c r="J207" s="117"/>
      <c r="K207" s="117"/>
    </row>
    <row r="208" spans="1:22" s="36" customFormat="1" x14ac:dyDescent="0.15">
      <c r="A208" s="79" t="s">
        <v>21</v>
      </c>
      <c r="B208" s="117">
        <f t="shared" ref="B208:K208" si="87">B143*(B189/B98)</f>
        <v>8.6973809993670645E-2</v>
      </c>
      <c r="C208" s="117">
        <f t="shared" si="87"/>
        <v>1.7467669711760401</v>
      </c>
      <c r="D208" s="117">
        <f t="shared" si="87"/>
        <v>4.7070028442704146</v>
      </c>
      <c r="E208" s="117">
        <f t="shared" si="87"/>
        <v>5.4229896708640126</v>
      </c>
      <c r="F208" s="117">
        <f t="shared" si="87"/>
        <v>5.1674923996597046</v>
      </c>
      <c r="G208" s="117">
        <f t="shared" si="87"/>
        <v>5.4211246178211079</v>
      </c>
      <c r="H208" s="117">
        <f t="shared" si="87"/>
        <v>5.487464601296054</v>
      </c>
      <c r="I208" s="117">
        <f t="shared" si="87"/>
        <v>5.6480810548194258</v>
      </c>
      <c r="J208" s="117">
        <f t="shared" si="87"/>
        <v>5.8595349295432566</v>
      </c>
      <c r="K208" s="117">
        <f t="shared" si="87"/>
        <v>6.1032743051449092</v>
      </c>
    </row>
    <row r="209" spans="1:11" s="54" customFormat="1" x14ac:dyDescent="0.15">
      <c r="A209" s="81" t="s">
        <v>310</v>
      </c>
      <c r="B209" s="124">
        <f>B208</f>
        <v>8.6973809993670645E-2</v>
      </c>
      <c r="C209" s="124">
        <f>B209+40*B208+(C208-B208)*40/2</f>
        <v>36.761789433387889</v>
      </c>
      <c r="D209" s="124">
        <f>C208+25*C208+(D208-C208)*25/2</f>
        <v>82.418889664256739</v>
      </c>
      <c r="E209" s="124">
        <f>D209+E208</f>
        <v>87.841879335120751</v>
      </c>
      <c r="F209" s="124">
        <f t="shared" ref="F209:I209" si="88">E209+F208</f>
        <v>93.009371734780458</v>
      </c>
      <c r="G209" s="124">
        <f t="shared" si="88"/>
        <v>98.430496352601565</v>
      </c>
      <c r="H209" s="124">
        <f t="shared" si="88"/>
        <v>103.91796095389762</v>
      </c>
      <c r="I209" s="124">
        <f t="shared" si="88"/>
        <v>109.56604200871705</v>
      </c>
      <c r="J209" s="124">
        <f>I209+J208</f>
        <v>115.42557693826031</v>
      </c>
      <c r="K209" s="124">
        <f>J209+4*J208+(K208-J208)*4/2</f>
        <v>139.35119540763662</v>
      </c>
    </row>
    <row r="210" spans="1:11" s="36" customFormat="1" x14ac:dyDescent="0.15">
      <c r="A210" s="89"/>
      <c r="B210" s="174"/>
      <c r="C210" s="117"/>
      <c r="D210" s="173"/>
      <c r="E210" s="117"/>
      <c r="F210" s="117"/>
      <c r="G210" s="117"/>
      <c r="H210" s="117"/>
      <c r="I210" s="117"/>
      <c r="J210" s="117"/>
      <c r="K210" s="117"/>
    </row>
    <row r="211" spans="1:11" s="36" customFormat="1" x14ac:dyDescent="0.15">
      <c r="A211" s="82" t="s">
        <v>354</v>
      </c>
      <c r="B211" s="117">
        <f t="shared" ref="B211:K211" si="89">(B148*1000)*(B188/(B100*1000000))</f>
        <v>3.965538388479458E-2</v>
      </c>
      <c r="C211" s="117">
        <f t="shared" si="89"/>
        <v>27.111101366113399</v>
      </c>
      <c r="D211" s="117">
        <f t="shared" si="89"/>
        <v>72.120331229025751</v>
      </c>
      <c r="E211" s="117">
        <f t="shared" si="89"/>
        <v>80.902061351592408</v>
      </c>
      <c r="F211" s="117">
        <f t="shared" si="89"/>
        <v>81.418818674142656</v>
      </c>
      <c r="G211" s="117">
        <f t="shared" si="89"/>
        <v>89.717016596700802</v>
      </c>
      <c r="H211" s="117">
        <f t="shared" si="89"/>
        <v>94.179719397519392</v>
      </c>
      <c r="I211" s="117">
        <f t="shared" si="89"/>
        <v>107.15632377780773</v>
      </c>
      <c r="J211" s="117">
        <f t="shared" si="89"/>
        <v>105.85827079689362</v>
      </c>
      <c r="K211" s="117">
        <f t="shared" si="89"/>
        <v>111.03756112099154</v>
      </c>
    </row>
    <row r="212" spans="1:11" s="54" customFormat="1" x14ac:dyDescent="0.15">
      <c r="A212" s="81" t="s">
        <v>396</v>
      </c>
      <c r="B212" s="124">
        <f>B211</f>
        <v>3.965538388479458E-2</v>
      </c>
      <c r="C212" s="124">
        <f>B212+40*B211+(C211-B211)*40/2</f>
        <v>543.05479038384863</v>
      </c>
      <c r="D212" s="124">
        <f>C212+25*C211+(D211-C211)*25/2</f>
        <v>1783.4476978230882</v>
      </c>
      <c r="E212" s="124">
        <f>D212+E211</f>
        <v>1864.3497591746807</v>
      </c>
      <c r="F212" s="124">
        <f t="shared" ref="F212:H212" si="90">E212+F211</f>
        <v>1945.7685778488233</v>
      </c>
      <c r="G212" s="124">
        <f t="shared" si="90"/>
        <v>2035.4855944455242</v>
      </c>
      <c r="H212" s="124">
        <f t="shared" si="90"/>
        <v>2129.6653138430434</v>
      </c>
      <c r="I212" s="124">
        <f>H212+I211</f>
        <v>2236.8216376208511</v>
      </c>
      <c r="J212" s="124">
        <f t="shared" ref="J212" si="91">I212+J211</f>
        <v>2342.6799084177446</v>
      </c>
      <c r="K212" s="124">
        <f>J212+4*J211+(K211-J211)*4/2</f>
        <v>2776.4715722535152</v>
      </c>
    </row>
    <row r="213" spans="1:11" s="36" customFormat="1" x14ac:dyDescent="0.15">
      <c r="A213" s="96"/>
      <c r="B213" s="117"/>
      <c r="C213" s="117"/>
      <c r="D213" s="117"/>
      <c r="E213" s="173"/>
      <c r="F213" s="117"/>
      <c r="G213" s="117"/>
      <c r="H213" s="117"/>
      <c r="I213" s="117"/>
      <c r="J213" s="117"/>
      <c r="K213" s="117"/>
    </row>
    <row r="214" spans="1:11" s="36" customFormat="1" x14ac:dyDescent="0.15">
      <c r="A214" s="96"/>
      <c r="B214" s="175"/>
      <c r="C214" s="117"/>
      <c r="D214" s="117"/>
      <c r="E214" s="117"/>
      <c r="F214" s="117"/>
      <c r="G214" s="117"/>
      <c r="H214" s="117"/>
      <c r="I214" s="117"/>
      <c r="J214" s="117"/>
      <c r="K214" s="117"/>
    </row>
    <row r="215" spans="1:11" s="54" customFormat="1" x14ac:dyDescent="0.15">
      <c r="A215" s="92" t="s">
        <v>395</v>
      </c>
      <c r="B215" s="124">
        <f t="shared" ref="B215:K215" si="92">B197+B200+B203+B206+B209+B212</f>
        <v>0.14868425842839633</v>
      </c>
      <c r="C215" s="124">
        <f t="shared" si="92"/>
        <v>740.28410537725392</v>
      </c>
      <c r="D215" s="124">
        <f t="shared" si="92"/>
        <v>2407.991412849804</v>
      </c>
      <c r="E215" s="124">
        <f t="shared" si="92"/>
        <v>2518.6934385526524</v>
      </c>
      <c r="F215" s="124">
        <f t="shared" si="92"/>
        <v>2630.5580772585909</v>
      </c>
      <c r="G215" s="124">
        <f t="shared" si="92"/>
        <v>2752.487525592469</v>
      </c>
      <c r="H215" s="124">
        <f t="shared" si="92"/>
        <v>2879.6691584153623</v>
      </c>
      <c r="I215" s="124">
        <f t="shared" si="92"/>
        <v>3023.784438888355</v>
      </c>
      <c r="J215" s="124">
        <f t="shared" si="92"/>
        <v>3170.0555111545932</v>
      </c>
      <c r="K215" s="124">
        <f t="shared" si="92"/>
        <v>3665.3613819840839</v>
      </c>
    </row>
    <row r="216" spans="1:11" s="36" customFormat="1" x14ac:dyDescent="0.15">
      <c r="A216" s="89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</row>
    <row r="217" spans="1:11" s="36" customFormat="1" x14ac:dyDescent="0.15">
      <c r="A217" s="82" t="s">
        <v>394</v>
      </c>
      <c r="B217" s="117">
        <f t="shared" ref="B217:K217" si="93">(B154*B188/B100)/1000</f>
        <v>9.3051720386290691E-3</v>
      </c>
      <c r="C217" s="117">
        <f t="shared" si="93"/>
        <v>3.5669754940029224</v>
      </c>
      <c r="D217" s="117">
        <f t="shared" si="93"/>
        <v>5.2598104761522375</v>
      </c>
      <c r="E217" s="117">
        <f t="shared" si="93"/>
        <v>5.4431457218353723</v>
      </c>
      <c r="F217" s="117">
        <f t="shared" si="93"/>
        <v>5.7295806770615494</v>
      </c>
      <c r="G217" s="117">
        <f t="shared" si="93"/>
        <v>5.8556350319494275</v>
      </c>
      <c r="H217" s="117">
        <f t="shared" si="93"/>
        <v>5.8184512403505986</v>
      </c>
      <c r="I217" s="117">
        <f t="shared" si="93"/>
        <v>5.4337886744259061</v>
      </c>
      <c r="J217" s="117">
        <f t="shared" si="93"/>
        <v>5.8622178541352525</v>
      </c>
      <c r="K217" s="117">
        <f t="shared" si="93"/>
        <v>5.4622721060971955</v>
      </c>
    </row>
    <row r="218" spans="1:11" s="54" customFormat="1" x14ac:dyDescent="0.15">
      <c r="A218" s="92" t="s">
        <v>333</v>
      </c>
      <c r="B218" s="124">
        <f>B217</f>
        <v>9.3051720386290691E-3</v>
      </c>
      <c r="C218" s="124">
        <f>B218+40*B217+(C217-B217)*40/2</f>
        <v>71.534918492869664</v>
      </c>
      <c r="D218" s="124">
        <f>C218+25*C217+(D217-C217)*25/2</f>
        <v>181.86974311980919</v>
      </c>
      <c r="E218" s="124">
        <f>D218+E217</f>
        <v>187.31288884164456</v>
      </c>
      <c r="F218" s="124">
        <f t="shared" ref="F218:J218" si="94">E218+F217</f>
        <v>193.04246951870613</v>
      </c>
      <c r="G218" s="124">
        <f t="shared" si="94"/>
        <v>198.89810455065555</v>
      </c>
      <c r="H218" s="124">
        <f t="shared" si="94"/>
        <v>204.71655579100616</v>
      </c>
      <c r="I218" s="124">
        <f t="shared" si="94"/>
        <v>210.15034446543206</v>
      </c>
      <c r="J218" s="124">
        <f t="shared" si="94"/>
        <v>216.01256231956731</v>
      </c>
      <c r="K218" s="124">
        <f>J218+K217</f>
        <v>221.47483442566451</v>
      </c>
    </row>
    <row r="219" spans="1:11" s="36" customFormat="1" x14ac:dyDescent="0.15">
      <c r="A219" s="96"/>
      <c r="B219" s="175"/>
      <c r="C219" s="117"/>
      <c r="D219" s="117"/>
      <c r="E219" s="117"/>
      <c r="F219" s="117"/>
      <c r="G219" s="117"/>
      <c r="H219" s="117"/>
      <c r="I219" s="117"/>
      <c r="J219" s="117"/>
      <c r="K219" s="117"/>
    </row>
    <row r="220" spans="1:11" s="36" customFormat="1" x14ac:dyDescent="0.15">
      <c r="A220" s="79" t="s">
        <v>353</v>
      </c>
      <c r="B220" s="172"/>
      <c r="C220" s="117"/>
      <c r="D220" s="117"/>
      <c r="E220" s="117"/>
      <c r="F220" s="117"/>
      <c r="G220" s="117"/>
      <c r="H220" s="117"/>
      <c r="I220" s="117"/>
      <c r="J220" s="117"/>
      <c r="K220" s="117"/>
    </row>
    <row r="221" spans="1:11" s="54" customFormat="1" x14ac:dyDescent="0.15">
      <c r="A221" s="92" t="s">
        <v>391</v>
      </c>
      <c r="B221" s="124">
        <f t="shared" ref="B221:K221" si="95">(B215*(2/(2-B70)))</f>
        <v>0.15650974571410139</v>
      </c>
      <c r="C221" s="124">
        <f t="shared" si="95"/>
        <v>1172.7272956471347</v>
      </c>
      <c r="D221" s="124">
        <f t="shared" si="95"/>
        <v>5234.7639409778358</v>
      </c>
      <c r="E221" s="124">
        <f t="shared" si="95"/>
        <v>5535.5899748409947</v>
      </c>
      <c r="F221" s="124">
        <f t="shared" si="95"/>
        <v>5845.6846161302019</v>
      </c>
      <c r="G221" s="124">
        <f t="shared" si="95"/>
        <v>6255.6534672556118</v>
      </c>
      <c r="H221" s="124">
        <f t="shared" si="95"/>
        <v>6619.9290998054303</v>
      </c>
      <c r="I221" s="124">
        <f t="shared" si="95"/>
        <v>7032.0568346240807</v>
      </c>
      <c r="J221" s="124">
        <f t="shared" si="95"/>
        <v>7547.7512170347454</v>
      </c>
      <c r="K221" s="124">
        <f t="shared" si="95"/>
        <v>8832.1961011664662</v>
      </c>
    </row>
    <row r="222" spans="1:11" s="36" customFormat="1" x14ac:dyDescent="0.15">
      <c r="A222" s="79" t="s">
        <v>4</v>
      </c>
      <c r="B222" s="11" t="s">
        <v>311</v>
      </c>
      <c r="C222" s="11">
        <f>D222*C221/D221</f>
        <v>63.730677805978438</v>
      </c>
      <c r="D222" s="117">
        <f>(E221-D221)*D221/E221</f>
        <v>284.47794755959598</v>
      </c>
      <c r="E222" s="11">
        <f>E221-D221</f>
        <v>300.82603386315895</v>
      </c>
      <c r="F222" s="11">
        <f t="shared" ref="F222:I222" si="96">F221-E221</f>
        <v>310.09464128920717</v>
      </c>
      <c r="G222" s="11">
        <f t="shared" si="96"/>
        <v>409.96885112540986</v>
      </c>
      <c r="H222" s="11">
        <f t="shared" si="96"/>
        <v>364.27563254981851</v>
      </c>
      <c r="I222" s="11">
        <f t="shared" si="96"/>
        <v>412.12773481865042</v>
      </c>
      <c r="J222" s="11">
        <f>J221-I221</f>
        <v>515.69438241066473</v>
      </c>
      <c r="K222" s="11">
        <f>((K221-J221)/4)*(K221/J221)</f>
        <v>375.75659198291157</v>
      </c>
    </row>
    <row r="223" spans="1:11" s="36" customFormat="1" x14ac:dyDescent="0.15">
      <c r="A223" s="96"/>
      <c r="B223" s="176"/>
      <c r="C223" s="117"/>
      <c r="D223" s="117"/>
      <c r="E223" s="117"/>
      <c r="F223" s="117"/>
      <c r="G223" s="117"/>
      <c r="H223" s="117"/>
      <c r="I223" s="117"/>
      <c r="J223" s="117"/>
      <c r="K223" s="117"/>
    </row>
    <row r="224" spans="1:11" s="43" customFormat="1" x14ac:dyDescent="0.15">
      <c r="A224" s="84" t="s">
        <v>373</v>
      </c>
      <c r="B224" s="124">
        <f>B193+B215+B218+B221</f>
        <v>0.39181703962813719</v>
      </c>
      <c r="C224" s="124">
        <f t="shared" ref="C224:K224" si="97">C193+C215+C221</f>
        <v>1984.4329744440138</v>
      </c>
      <c r="D224" s="124">
        <f t="shared" si="97"/>
        <v>7815.7186822428766</v>
      </c>
      <c r="E224" s="124">
        <f t="shared" si="97"/>
        <v>8232.3118799361328</v>
      </c>
      <c r="F224" s="124">
        <f t="shared" si="97"/>
        <v>8659.4634533098833</v>
      </c>
      <c r="G224" s="124">
        <f t="shared" si="97"/>
        <v>9196.8518976951564</v>
      </c>
      <c r="H224" s="124">
        <f t="shared" si="97"/>
        <v>9693.8417598963133</v>
      </c>
      <c r="I224" s="124">
        <f t="shared" si="97"/>
        <v>10256.562604337088</v>
      </c>
      <c r="J224" s="124">
        <f t="shared" si="97"/>
        <v>10924.451401221344</v>
      </c>
      <c r="K224" s="124">
        <f t="shared" si="97"/>
        <v>12734.655801390705</v>
      </c>
    </row>
    <row r="225" spans="1:24" x14ac:dyDescent="0.15">
      <c r="B225" s="172"/>
      <c r="C225" s="11"/>
      <c r="D225" s="117"/>
      <c r="E225" s="11"/>
      <c r="F225" s="11"/>
      <c r="G225" s="11"/>
      <c r="H225" s="11"/>
      <c r="I225" s="11"/>
      <c r="J225" s="11"/>
      <c r="K225" s="11"/>
      <c r="L225" s="12"/>
      <c r="M225" s="12"/>
      <c r="N225" s="12"/>
    </row>
    <row r="226" spans="1:24" x14ac:dyDescent="0.15">
      <c r="A226" s="77" t="s">
        <v>2</v>
      </c>
      <c r="B226" s="177"/>
      <c r="C226" s="11"/>
      <c r="D226" s="117"/>
      <c r="E226" s="11"/>
      <c r="F226" s="11"/>
      <c r="G226" s="11"/>
      <c r="H226" s="11"/>
      <c r="I226" s="11"/>
      <c r="J226" s="11"/>
      <c r="K226" s="11"/>
      <c r="L226" s="12"/>
      <c r="M226" s="12"/>
      <c r="N226" s="12"/>
    </row>
    <row r="227" spans="1:24" x14ac:dyDescent="0.15">
      <c r="A227" s="77"/>
      <c r="B227" s="177"/>
      <c r="C227" s="11"/>
      <c r="D227" s="117"/>
      <c r="E227" s="11"/>
      <c r="F227" s="11"/>
      <c r="G227" s="11"/>
      <c r="H227" s="11"/>
      <c r="I227" s="11"/>
      <c r="J227" s="11"/>
      <c r="K227" s="11"/>
      <c r="L227" s="12"/>
      <c r="M227" s="12"/>
      <c r="N227" s="12"/>
    </row>
    <row r="228" spans="1:24" x14ac:dyDescent="0.15">
      <c r="A228" s="79" t="s">
        <v>19</v>
      </c>
      <c r="B228" s="172"/>
      <c r="C228" s="11"/>
      <c r="D228" s="117"/>
      <c r="E228" s="11"/>
      <c r="F228" s="11"/>
      <c r="G228" s="11"/>
      <c r="H228" s="11"/>
      <c r="I228" s="11"/>
      <c r="J228" s="11"/>
      <c r="K228" s="11"/>
      <c r="L228" s="12"/>
      <c r="M228" s="12"/>
      <c r="N228" s="12"/>
    </row>
    <row r="229" spans="1:24" s="43" customFormat="1" x14ac:dyDescent="0.15">
      <c r="A229" s="92" t="s">
        <v>392</v>
      </c>
      <c r="B229" s="124">
        <f t="shared" ref="B229:K229" si="98">(B166*B189)/B98</f>
        <v>4.7216087252897068E-2</v>
      </c>
      <c r="C229" s="124">
        <f t="shared" si="98"/>
        <v>914.50540540540544</v>
      </c>
      <c r="D229" s="124">
        <f t="shared" si="98"/>
        <v>2317.7149144926871</v>
      </c>
      <c r="E229" s="124">
        <f t="shared" si="98"/>
        <v>2579.7252047315742</v>
      </c>
      <c r="F229" s="124">
        <f t="shared" si="98"/>
        <v>2657.3425266903914</v>
      </c>
      <c r="G229" s="124">
        <f t="shared" si="98"/>
        <v>2842.4672489082968</v>
      </c>
      <c r="H229" s="124">
        <f t="shared" si="98"/>
        <v>2945.7632933104633</v>
      </c>
      <c r="I229" s="124">
        <f t="shared" si="98"/>
        <v>3296.6814846784637</v>
      </c>
      <c r="J229" s="124">
        <f t="shared" si="98"/>
        <v>2932.4502199120352</v>
      </c>
      <c r="K229" s="124">
        <f t="shared" si="98"/>
        <v>3260.2550716767191</v>
      </c>
      <c r="L229" s="55"/>
      <c r="M229" s="55"/>
      <c r="N229" s="55"/>
    </row>
    <row r="230" spans="1:24" x14ac:dyDescent="0.15">
      <c r="B230" s="172"/>
      <c r="C230" s="11"/>
      <c r="D230" s="117"/>
      <c r="E230" s="11"/>
      <c r="F230" s="11"/>
      <c r="G230" s="11"/>
      <c r="H230" s="11"/>
      <c r="I230" s="11"/>
      <c r="J230" s="11"/>
      <c r="K230" s="11"/>
      <c r="L230" s="12"/>
      <c r="M230" s="12"/>
      <c r="N230" s="12"/>
    </row>
    <row r="231" spans="1:24" x14ac:dyDescent="0.15">
      <c r="A231" s="79" t="s">
        <v>318</v>
      </c>
      <c r="B231" s="117">
        <f t="shared" ref="B231:K231" si="99">B168*B189/B98</f>
        <v>2.7009202453987733</v>
      </c>
      <c r="C231" s="117">
        <f t="shared" si="99"/>
        <v>62.566216216216219</v>
      </c>
      <c r="D231" s="117">
        <f t="shared" si="99"/>
        <v>99.348952363486319</v>
      </c>
      <c r="E231" s="117">
        <f t="shared" si="99"/>
        <v>113.95359417652411</v>
      </c>
      <c r="F231" s="117">
        <f t="shared" si="99"/>
        <v>120.51334519572954</v>
      </c>
      <c r="G231" s="117">
        <f t="shared" si="99"/>
        <v>125.85152838427948</v>
      </c>
      <c r="H231" s="117">
        <f t="shared" si="99"/>
        <v>146.24356775300171</v>
      </c>
      <c r="I231" s="117">
        <f t="shared" si="99"/>
        <v>148.0733707380233</v>
      </c>
      <c r="J231" s="117">
        <f t="shared" si="99"/>
        <v>150.14474210315873</v>
      </c>
      <c r="K231" s="117">
        <f t="shared" si="99"/>
        <v>186.7919413054282</v>
      </c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</row>
    <row r="232" spans="1:24" s="43" customFormat="1" x14ac:dyDescent="0.15">
      <c r="A232" s="84" t="s">
        <v>397</v>
      </c>
      <c r="B232" s="124">
        <f t="shared" ref="B232:K232" si="100">B169*B189/B98</f>
        <v>11.58394683026585</v>
      </c>
      <c r="C232" s="124">
        <f t="shared" si="100"/>
        <v>406.55675675675678</v>
      </c>
      <c r="D232" s="124">
        <f t="shared" si="100"/>
        <v>964.64627940030266</v>
      </c>
      <c r="E232" s="124">
        <f t="shared" si="100"/>
        <v>1107.3066424021838</v>
      </c>
      <c r="F232" s="124">
        <f t="shared" si="100"/>
        <v>1185.8233985765125</v>
      </c>
      <c r="G232" s="124">
        <f t="shared" si="100"/>
        <v>1286.8558951965065</v>
      </c>
      <c r="H232" s="124">
        <f t="shared" si="100"/>
        <v>1360.8576329331047</v>
      </c>
      <c r="I232" s="124">
        <f t="shared" si="100"/>
        <v>1603.1264566249461</v>
      </c>
      <c r="J232" s="124">
        <f t="shared" si="100"/>
        <v>1564.6933226709316</v>
      </c>
      <c r="K232" s="124">
        <f t="shared" si="100"/>
        <v>1793.6016580355667</v>
      </c>
      <c r="L232" s="55"/>
      <c r="M232" s="55"/>
      <c r="N232" s="55"/>
    </row>
    <row r="233" spans="1:24" s="15" customFormat="1" x14ac:dyDescent="0.15">
      <c r="A233" s="82"/>
      <c r="B233" s="173"/>
      <c r="C233" s="117"/>
      <c r="D233" s="173"/>
      <c r="E233" s="173"/>
      <c r="F233" s="173"/>
      <c r="G233" s="173"/>
      <c r="H233" s="173"/>
      <c r="I233" s="173"/>
      <c r="J233" s="173"/>
      <c r="K233" s="173"/>
    </row>
    <row r="234" spans="1:24" s="43" customFormat="1" x14ac:dyDescent="0.15">
      <c r="A234" s="88" t="s">
        <v>398</v>
      </c>
      <c r="B234" s="124">
        <f>B229+B232</f>
        <v>11.631162917518747</v>
      </c>
      <c r="C234" s="124">
        <f>C229+C232</f>
        <v>1321.0621621621622</v>
      </c>
      <c r="D234" s="124">
        <f>D229+D232</f>
        <v>3282.3611938929898</v>
      </c>
      <c r="E234" s="124">
        <f t="shared" ref="E234:K234" si="101">E229+E232</f>
        <v>3687.0318471337578</v>
      </c>
      <c r="F234" s="124">
        <f t="shared" si="101"/>
        <v>3843.1659252669042</v>
      </c>
      <c r="G234" s="124">
        <f t="shared" si="101"/>
        <v>4129.3231441048029</v>
      </c>
      <c r="H234" s="124">
        <f t="shared" si="101"/>
        <v>4306.6209262435677</v>
      </c>
      <c r="I234" s="124">
        <f t="shared" si="101"/>
        <v>4899.8079413034102</v>
      </c>
      <c r="J234" s="124">
        <f t="shared" si="101"/>
        <v>4497.1435425829668</v>
      </c>
      <c r="K234" s="124">
        <f t="shared" si="101"/>
        <v>5053.8567297122863</v>
      </c>
    </row>
    <row r="235" spans="1:24" s="15" customFormat="1" x14ac:dyDescent="0.15">
      <c r="A235" s="97"/>
      <c r="B235" s="178"/>
      <c r="C235" s="117"/>
      <c r="D235" s="117"/>
      <c r="E235" s="117"/>
      <c r="F235" s="117"/>
      <c r="G235" s="117"/>
      <c r="H235" s="117"/>
      <c r="I235" s="117"/>
      <c r="J235" s="117"/>
      <c r="K235" s="117"/>
    </row>
    <row r="236" spans="1:24" s="15" customFormat="1" x14ac:dyDescent="0.15">
      <c r="A236" s="89" t="s">
        <v>342</v>
      </c>
      <c r="B236" s="117">
        <v>1950</v>
      </c>
      <c r="C236" s="117">
        <v>1990</v>
      </c>
      <c r="D236" s="117">
        <v>2015</v>
      </c>
      <c r="E236" s="117">
        <v>2016</v>
      </c>
      <c r="F236" s="117">
        <v>2017</v>
      </c>
      <c r="G236" s="117">
        <v>2018</v>
      </c>
      <c r="H236" s="117">
        <v>2019</v>
      </c>
      <c r="I236" s="117">
        <v>2020</v>
      </c>
      <c r="J236" s="117">
        <v>2021</v>
      </c>
      <c r="K236" s="117">
        <v>2025</v>
      </c>
    </row>
    <row r="237" spans="1:24" s="15" customFormat="1" x14ac:dyDescent="0.15">
      <c r="A237" s="79"/>
      <c r="B237" s="172"/>
      <c r="C237" s="117"/>
      <c r="D237" s="117"/>
      <c r="E237" s="117"/>
      <c r="F237" s="117"/>
      <c r="G237" s="117"/>
      <c r="H237" s="117"/>
      <c r="I237" s="117"/>
      <c r="J237" s="117"/>
      <c r="K237" s="117"/>
    </row>
    <row r="238" spans="1:24" s="58" customFormat="1" x14ac:dyDescent="0.15">
      <c r="A238" s="90" t="s">
        <v>6</v>
      </c>
      <c r="B238" s="179">
        <f t="shared" ref="B238:K238" si="102">B189-B231+B239</f>
        <v>14.408425632491838</v>
      </c>
      <c r="C238" s="179">
        <f t="shared" si="102"/>
        <v>-359.93702849806783</v>
      </c>
      <c r="D238" s="179">
        <f t="shared" si="102"/>
        <v>-4166.706440713373</v>
      </c>
      <c r="E238" s="179">
        <f t="shared" si="102"/>
        <v>-4153.2336269788993</v>
      </c>
      <c r="F238" s="179">
        <f t="shared" si="102"/>
        <v>-4413.8108732387091</v>
      </c>
      <c r="G238" s="179">
        <f t="shared" si="102"/>
        <v>-4643.3802819746334</v>
      </c>
      <c r="H238" s="179">
        <f t="shared" si="102"/>
        <v>-4973.4644014057476</v>
      </c>
      <c r="I238" s="179">
        <f t="shared" si="102"/>
        <v>-4871.8280337717015</v>
      </c>
      <c r="J238" s="179">
        <f t="shared" si="102"/>
        <v>-5934.4526007415361</v>
      </c>
      <c r="K238" s="179">
        <f t="shared" si="102"/>
        <v>-7239.5910129838467</v>
      </c>
    </row>
    <row r="239" spans="1:24" s="58" customFormat="1" x14ac:dyDescent="0.15">
      <c r="A239" s="90" t="s">
        <v>324</v>
      </c>
      <c r="B239" s="179">
        <f>B234-B224</f>
        <v>11.23934587789061</v>
      </c>
      <c r="C239" s="179">
        <f t="shared" ref="C239:K239" si="103">C234-C224</f>
        <v>-663.37081228185161</v>
      </c>
      <c r="D239" s="179">
        <f t="shared" si="103"/>
        <v>-4533.3574883498868</v>
      </c>
      <c r="E239" s="179">
        <f t="shared" si="103"/>
        <v>-4545.280032802375</v>
      </c>
      <c r="F239" s="179">
        <f t="shared" si="103"/>
        <v>-4816.2975280429791</v>
      </c>
      <c r="G239" s="179">
        <f t="shared" si="103"/>
        <v>-5067.5287535903535</v>
      </c>
      <c r="H239" s="179">
        <f t="shared" si="103"/>
        <v>-5387.2208336527456</v>
      </c>
      <c r="I239" s="179">
        <f t="shared" si="103"/>
        <v>-5356.7546630336783</v>
      </c>
      <c r="J239" s="179">
        <f t="shared" si="103"/>
        <v>-6427.3078586383772</v>
      </c>
      <c r="K239" s="179">
        <f t="shared" si="103"/>
        <v>-7680.7990716784188</v>
      </c>
    </row>
    <row r="240" spans="1:24" x14ac:dyDescent="0.15">
      <c r="B240" s="11"/>
      <c r="C240" s="172"/>
      <c r="D240" s="173"/>
      <c r="E240" s="172"/>
      <c r="F240" s="172"/>
      <c r="G240" s="172"/>
      <c r="H240" s="172"/>
      <c r="I240" s="172"/>
      <c r="J240" s="172"/>
      <c r="K240" s="172"/>
    </row>
    <row r="241" spans="1:21" s="58" customFormat="1" x14ac:dyDescent="0.15">
      <c r="A241" s="90" t="s">
        <v>72</v>
      </c>
      <c r="B241" s="137">
        <f t="shared" ref="B241:K241" si="104">1000000*B238/B186</f>
        <v>17149.970995994368</v>
      </c>
      <c r="C241" s="137">
        <f t="shared" si="104"/>
        <v>-21706.490682551434</v>
      </c>
      <c r="D241" s="137">
        <f t="shared" si="104"/>
        <v>-260892.01932962076</v>
      </c>
      <c r="E241" s="137">
        <f t="shared" si="104"/>
        <v>-258865.22232478805</v>
      </c>
      <c r="F241" s="137">
        <f t="shared" si="104"/>
        <v>-271185.23428598611</v>
      </c>
      <c r="G241" s="137">
        <f t="shared" si="104"/>
        <v>-281263.57029345405</v>
      </c>
      <c r="H241" s="137">
        <f t="shared" si="104"/>
        <v>-297082.87446423434</v>
      </c>
      <c r="I241" s="137">
        <f t="shared" si="104"/>
        <v>-287033.99715852836</v>
      </c>
      <c r="J241" s="137">
        <f t="shared" si="104"/>
        <v>-344905.99795080413</v>
      </c>
      <c r="K241" s="137">
        <f t="shared" si="104"/>
        <v>-399205.45977302711</v>
      </c>
    </row>
    <row r="242" spans="1:21" s="58" customFormat="1" x14ac:dyDescent="0.15">
      <c r="A242" s="90" t="s">
        <v>7</v>
      </c>
      <c r="B242" s="137">
        <f t="shared" ref="B242:K242" si="105">B239*1000000/B186</f>
        <v>13377.898511347435</v>
      </c>
      <c r="C242" s="137">
        <f t="shared" si="105"/>
        <v>-40005.476557824848</v>
      </c>
      <c r="D242" s="137">
        <f t="shared" si="105"/>
        <v>-283849.31991421245</v>
      </c>
      <c r="E242" s="137">
        <f t="shared" si="105"/>
        <v>-283300.92450775212</v>
      </c>
      <c r="F242" s="137">
        <f t="shared" si="105"/>
        <v>-295914.07766299945</v>
      </c>
      <c r="G242" s="137">
        <f t="shared" si="105"/>
        <v>-306955.5244769734</v>
      </c>
      <c r="H242" s="137">
        <f t="shared" si="105"/>
        <v>-321798.03080178873</v>
      </c>
      <c r="I242" s="137">
        <f t="shared" si="105"/>
        <v>-315604.4696302173</v>
      </c>
      <c r="J242" s="137">
        <f t="shared" si="105"/>
        <v>-373550.38118321385</v>
      </c>
      <c r="K242" s="137">
        <f t="shared" si="105"/>
        <v>-423534.55040961783</v>
      </c>
    </row>
    <row r="243" spans="1:21" x14ac:dyDescent="0.15">
      <c r="B243" s="79"/>
      <c r="C243" s="79"/>
      <c r="D243" s="82"/>
    </row>
    <row r="244" spans="1:21" x14ac:dyDescent="0.15">
      <c r="B244" s="79"/>
    </row>
    <row r="245" spans="1:21" x14ac:dyDescent="0.15">
      <c r="B245" s="79"/>
    </row>
    <row r="246" spans="1:21" x14ac:dyDescent="0.15">
      <c r="C246" s="102"/>
    </row>
    <row r="247" spans="1:21" hidden="1" x14ac:dyDescent="0.15">
      <c r="A247" s="77" t="s">
        <v>206</v>
      </c>
    </row>
    <row r="248" spans="1:21" hidden="1" x14ac:dyDescent="0.15">
      <c r="A248" s="77" t="s">
        <v>40</v>
      </c>
    </row>
    <row r="249" spans="1:21" hidden="1" x14ac:dyDescent="0.15">
      <c r="A249" s="80" t="s">
        <v>37</v>
      </c>
      <c r="B249" s="101">
        <v>1990</v>
      </c>
      <c r="C249" s="102">
        <v>2015</v>
      </c>
      <c r="D249" s="101">
        <v>2016</v>
      </c>
      <c r="E249" s="101">
        <v>2017</v>
      </c>
      <c r="F249" s="101">
        <v>2018</v>
      </c>
      <c r="G249" s="101">
        <v>2019</v>
      </c>
      <c r="H249" s="101">
        <v>2020</v>
      </c>
      <c r="I249" s="101">
        <v>2021</v>
      </c>
    </row>
    <row r="250" spans="1:21" hidden="1" x14ac:dyDescent="0.15">
      <c r="A250" s="6" t="s">
        <v>14</v>
      </c>
      <c r="B250" s="109">
        <v>26866</v>
      </c>
      <c r="C250" s="108">
        <v>140282</v>
      </c>
      <c r="D250" s="109">
        <v>140647</v>
      </c>
      <c r="E250" s="109">
        <v>141735</v>
      </c>
      <c r="F250" s="109">
        <v>142182</v>
      </c>
      <c r="G250" s="109">
        <v>142576</v>
      </c>
      <c r="H250" s="109"/>
      <c r="I250" s="109"/>
      <c r="J250" s="109"/>
      <c r="K250" s="79" t="s">
        <v>202</v>
      </c>
      <c r="L250" s="21"/>
      <c r="M250" s="21"/>
      <c r="N250" s="21"/>
      <c r="O250" s="21"/>
      <c r="P250" s="21"/>
      <c r="Q250" s="21"/>
      <c r="R250" s="21"/>
      <c r="S250" s="23"/>
      <c r="T250" s="23"/>
      <c r="U250" s="23"/>
    </row>
    <row r="251" spans="1:21" hidden="1" x14ac:dyDescent="0.15">
      <c r="A251" s="6" t="s">
        <v>64</v>
      </c>
      <c r="B251" s="109">
        <f>28539-2*((834+828+847)/3)</f>
        <v>26866.333333333332</v>
      </c>
      <c r="C251" s="108">
        <v>64557</v>
      </c>
      <c r="D251" s="109">
        <v>65275</v>
      </c>
      <c r="E251" s="109">
        <v>67415</v>
      </c>
      <c r="F251" s="109">
        <v>68827</v>
      </c>
      <c r="G251" s="109">
        <v>70468</v>
      </c>
      <c r="H251" s="109">
        <v>71546</v>
      </c>
      <c r="I251" s="109">
        <f>H251+(H251-G251)</f>
        <v>72624</v>
      </c>
      <c r="J251" s="109">
        <f>H251*J334/H334</f>
        <v>0</v>
      </c>
      <c r="K251" s="79" t="s">
        <v>63</v>
      </c>
      <c r="S251" s="2"/>
      <c r="T251" s="2"/>
      <c r="U251" s="2"/>
    </row>
    <row r="252" spans="1:21" ht="13" hidden="1" customHeight="1" x14ac:dyDescent="0.15">
      <c r="A252" s="77"/>
    </row>
    <row r="253" spans="1:21" hidden="1" x14ac:dyDescent="0.15">
      <c r="A253" s="77" t="s">
        <v>204</v>
      </c>
      <c r="B253" s="101">
        <v>2008</v>
      </c>
      <c r="C253" s="102">
        <v>2010</v>
      </c>
      <c r="D253" s="101">
        <v>2014</v>
      </c>
      <c r="E253" s="101">
        <v>2016</v>
      </c>
      <c r="F253" s="101">
        <v>2018</v>
      </c>
    </row>
    <row r="254" spans="1:21" hidden="1" x14ac:dyDescent="0.15">
      <c r="A254" s="79" t="s">
        <v>349</v>
      </c>
      <c r="B254" s="116">
        <f>28.4*1.258*C361/C360</f>
        <v>35.028698147801677</v>
      </c>
      <c r="C254" s="118">
        <f>29.9*1.258*D361/D360</f>
        <v>36.620489522665864</v>
      </c>
      <c r="D254" s="116">
        <f>36.3*1.258*E361/E360</f>
        <v>41.608537375877134</v>
      </c>
      <c r="E254" s="116">
        <f>45.1*1.258*E5/E4</f>
        <v>58.876055040945104</v>
      </c>
      <c r="F254" s="116">
        <f>47.9*1.258*F5/F4</f>
        <v>59.126139022593307</v>
      </c>
      <c r="G254" s="79" t="s">
        <v>11</v>
      </c>
    </row>
    <row r="255" spans="1:21" hidden="1" x14ac:dyDescent="0.15">
      <c r="A255" s="79" t="s">
        <v>350</v>
      </c>
      <c r="B255" s="101">
        <v>1990</v>
      </c>
      <c r="C255" s="102">
        <v>2015</v>
      </c>
      <c r="D255" s="101">
        <v>2016</v>
      </c>
      <c r="E255" s="101">
        <v>2017</v>
      </c>
      <c r="F255" s="101">
        <v>2018</v>
      </c>
      <c r="G255" s="101">
        <v>2019</v>
      </c>
      <c r="H255" s="101">
        <v>2020</v>
      </c>
      <c r="I255" s="101">
        <v>2021</v>
      </c>
      <c r="J255" s="101">
        <v>2025</v>
      </c>
    </row>
    <row r="256" spans="1:21" hidden="1" x14ac:dyDescent="0.15">
      <c r="A256" s="79" t="s">
        <v>393</v>
      </c>
      <c r="B256" s="118">
        <f>C254*B5/C5</f>
        <v>9.6075591415001274</v>
      </c>
      <c r="C256" s="118">
        <f>(D254+E254)/2</f>
        <v>50.242296208411119</v>
      </c>
      <c r="D256" s="116">
        <f>E254</f>
        <v>58.876055040945104</v>
      </c>
      <c r="E256" s="116">
        <f>(D256+F256)/2</f>
        <v>59.001097031769206</v>
      </c>
      <c r="F256" s="116">
        <f>F254</f>
        <v>59.126139022593307</v>
      </c>
      <c r="G256" s="11">
        <f>F256*H5/G5</f>
        <v>60.659091984894616</v>
      </c>
      <c r="H256" s="11">
        <f>G256*I5/H5</f>
        <v>58.767972442616376</v>
      </c>
      <c r="I256" s="11">
        <f>H256*J5/I5</f>
        <v>62.220698273594088</v>
      </c>
      <c r="J256" s="11">
        <f>I256*K5/J5</f>
        <v>70.136179691084479</v>
      </c>
    </row>
    <row r="257" spans="1:10" hidden="1" x14ac:dyDescent="0.15">
      <c r="B257" s="102"/>
    </row>
    <row r="258" spans="1:10" hidden="1" x14ac:dyDescent="0.15">
      <c r="A258" s="98" t="s">
        <v>205</v>
      </c>
      <c r="B258" s="116"/>
    </row>
    <row r="259" spans="1:10" hidden="1" x14ac:dyDescent="0.15">
      <c r="A259" s="79" t="s">
        <v>16</v>
      </c>
      <c r="B259" s="161">
        <f>(1.6+((1.6/1.3)*(121*6.625/G9)))/6</f>
        <v>0.2880664450940349</v>
      </c>
      <c r="C259" s="82" t="s">
        <v>207</v>
      </c>
    </row>
    <row r="260" spans="1:10" hidden="1" x14ac:dyDescent="0.15">
      <c r="A260" s="77"/>
      <c r="C260" s="82" t="s">
        <v>15</v>
      </c>
    </row>
    <row r="261" spans="1:10" hidden="1" x14ac:dyDescent="0.15">
      <c r="A261" s="77"/>
    </row>
    <row r="262" spans="1:10" hidden="1" x14ac:dyDescent="0.15">
      <c r="A262" s="77" t="s">
        <v>201</v>
      </c>
      <c r="B262" s="79" t="s">
        <v>208</v>
      </c>
      <c r="C262" s="102">
        <v>1990</v>
      </c>
      <c r="D262" s="101">
        <v>2015</v>
      </c>
      <c r="E262" s="101">
        <v>2016</v>
      </c>
      <c r="F262" s="101">
        <v>2017</v>
      </c>
      <c r="G262" s="101">
        <v>2018</v>
      </c>
      <c r="H262" s="101">
        <v>2019</v>
      </c>
      <c r="I262" s="101">
        <v>2020</v>
      </c>
      <c r="J262" s="101">
        <v>2021</v>
      </c>
    </row>
    <row r="263" spans="1:10" hidden="1" x14ac:dyDescent="0.15">
      <c r="A263" s="79" t="s">
        <v>78</v>
      </c>
      <c r="B263" s="79"/>
      <c r="C263" s="102"/>
      <c r="D263" s="101"/>
      <c r="E263" s="101"/>
      <c r="F263" s="101"/>
      <c r="G263" s="101"/>
      <c r="H263" s="101"/>
      <c r="I263" s="101"/>
      <c r="J263" s="101"/>
    </row>
    <row r="264" spans="1:10" hidden="1" x14ac:dyDescent="0.15">
      <c r="A264" s="79" t="s">
        <v>79</v>
      </c>
      <c r="B264" s="79" t="s">
        <v>209</v>
      </c>
      <c r="C264" s="102">
        <v>96.6</v>
      </c>
      <c r="D264" s="101">
        <v>137.6</v>
      </c>
      <c r="E264" s="101">
        <v>138.30000000000001</v>
      </c>
      <c r="F264" s="101">
        <v>139.6</v>
      </c>
      <c r="G264" s="101">
        <v>137.1</v>
      </c>
      <c r="H264" s="101">
        <v>128.30000000000001</v>
      </c>
      <c r="I264" s="101">
        <v>132.69999999999999</v>
      </c>
      <c r="J264" s="101">
        <v>130.1</v>
      </c>
    </row>
    <row r="265" spans="1:10" hidden="1" x14ac:dyDescent="0.15">
      <c r="A265" s="77" t="s">
        <v>114</v>
      </c>
      <c r="B265" s="79" t="s">
        <v>98</v>
      </c>
      <c r="C265" s="102">
        <v>41.9</v>
      </c>
      <c r="D265" s="101">
        <v>56.7</v>
      </c>
      <c r="E265" s="101">
        <v>55.3</v>
      </c>
      <c r="F265" s="101">
        <v>56.6</v>
      </c>
      <c r="G265" s="101">
        <v>55.6</v>
      </c>
      <c r="H265" s="101">
        <v>54.8</v>
      </c>
      <c r="I265" s="101">
        <v>58.7</v>
      </c>
      <c r="J265" s="101">
        <v>56.5</v>
      </c>
    </row>
    <row r="266" spans="1:10" hidden="1" x14ac:dyDescent="0.15">
      <c r="A266" s="77"/>
      <c r="B266" s="79" t="s">
        <v>99</v>
      </c>
      <c r="C266" s="102">
        <v>26.6</v>
      </c>
      <c r="D266" s="101">
        <v>47.8</v>
      </c>
      <c r="E266" s="101">
        <v>48.2</v>
      </c>
      <c r="F266" s="101">
        <v>50.1</v>
      </c>
      <c r="G266" s="101">
        <v>49.7</v>
      </c>
      <c r="H266" s="101">
        <v>47.2</v>
      </c>
      <c r="I266" s="101">
        <v>48.8</v>
      </c>
      <c r="J266" s="101">
        <v>49.7</v>
      </c>
    </row>
    <row r="267" spans="1:10" hidden="1" x14ac:dyDescent="0.15">
      <c r="A267" s="77"/>
      <c r="B267" s="79" t="s">
        <v>100</v>
      </c>
      <c r="C267" s="102">
        <f t="shared" ref="C267:J267" si="106">C264+C265+C266</f>
        <v>165.1</v>
      </c>
      <c r="D267" s="101">
        <f t="shared" si="106"/>
        <v>242.10000000000002</v>
      </c>
      <c r="E267" s="101">
        <f t="shared" si="106"/>
        <v>241.8</v>
      </c>
      <c r="F267" s="101">
        <f t="shared" si="106"/>
        <v>246.29999999999998</v>
      </c>
      <c r="G267" s="101">
        <f t="shared" si="106"/>
        <v>242.39999999999998</v>
      </c>
      <c r="H267" s="101">
        <f t="shared" si="106"/>
        <v>230.3</v>
      </c>
      <c r="I267" s="101">
        <f t="shared" si="106"/>
        <v>240.2</v>
      </c>
      <c r="J267" s="101">
        <f t="shared" si="106"/>
        <v>236.3</v>
      </c>
    </row>
    <row r="268" spans="1:10" hidden="1" x14ac:dyDescent="0.15">
      <c r="A268" s="77"/>
      <c r="B268" s="79"/>
      <c r="C268" s="102"/>
      <c r="D268" s="101"/>
      <c r="E268" s="101"/>
      <c r="F268" s="101"/>
      <c r="G268" s="101"/>
      <c r="H268" s="101"/>
      <c r="I268" s="101"/>
      <c r="J268" s="101"/>
    </row>
    <row r="269" spans="1:10" hidden="1" x14ac:dyDescent="0.15">
      <c r="A269" s="77"/>
      <c r="B269" s="79" t="s">
        <v>101</v>
      </c>
      <c r="C269" s="102">
        <v>1990</v>
      </c>
      <c r="D269" s="101">
        <v>2015</v>
      </c>
      <c r="E269" s="101">
        <v>2016</v>
      </c>
      <c r="F269" s="101">
        <v>2017</v>
      </c>
      <c r="G269" s="101">
        <v>2018</v>
      </c>
      <c r="H269" s="101">
        <v>2019</v>
      </c>
      <c r="I269" s="101">
        <v>2020</v>
      </c>
      <c r="J269" s="101">
        <v>2021</v>
      </c>
    </row>
    <row r="270" spans="1:10" hidden="1" x14ac:dyDescent="0.15">
      <c r="A270" s="77"/>
      <c r="B270" s="131" t="s">
        <v>102</v>
      </c>
      <c r="C270" s="117">
        <f>((D270+E270+F270+G270+H270)/5)*5*(C264/(D264+E264+F264+G264+H264))</f>
        <v>167.50431487736816</v>
      </c>
      <c r="D270" s="162">
        <v>277.94</v>
      </c>
      <c r="E270" s="162">
        <v>194.13</v>
      </c>
      <c r="F270" s="162">
        <v>213.88</v>
      </c>
      <c r="G270" s="162">
        <v>249.45</v>
      </c>
      <c r="H270" s="162">
        <v>245.28</v>
      </c>
      <c r="I270" s="162">
        <v>229.1</v>
      </c>
      <c r="J270" s="162">
        <v>483.21</v>
      </c>
    </row>
    <row r="271" spans="1:10" hidden="1" x14ac:dyDescent="0.15">
      <c r="A271" s="77"/>
      <c r="B271" s="131" t="s">
        <v>103</v>
      </c>
      <c r="C271" s="117">
        <f>((D271+E271+F271+G271+H271)/5)*5*(C265/(D265+E265+F265+G265+H265))</f>
        <v>263.60206093189964</v>
      </c>
      <c r="D271" s="162">
        <v>416.62</v>
      </c>
      <c r="E271" s="162">
        <v>315.81</v>
      </c>
      <c r="F271" s="162">
        <v>323.02999999999997</v>
      </c>
      <c r="G271" s="162">
        <v>393.43</v>
      </c>
      <c r="H271" s="162">
        <v>306.36</v>
      </c>
      <c r="I271" s="162">
        <v>312.42</v>
      </c>
      <c r="J271" s="162">
        <v>600.96</v>
      </c>
    </row>
    <row r="272" spans="1:10" hidden="1" x14ac:dyDescent="0.15">
      <c r="A272" s="77"/>
      <c r="B272" s="131" t="s">
        <v>104</v>
      </c>
      <c r="C272" s="117">
        <f>((D272+E272+F272+G272+H272)/5)*5*(C266/(D266+E266+F266+G266+H266))</f>
        <v>136.34087242798356</v>
      </c>
      <c r="D272" s="162">
        <v>296.06</v>
      </c>
      <c r="E272" s="162">
        <v>260.23</v>
      </c>
      <c r="F272" s="162">
        <v>218.23</v>
      </c>
      <c r="G272" s="162">
        <v>215.5</v>
      </c>
      <c r="H272" s="162">
        <v>255.5</v>
      </c>
      <c r="I272" s="162">
        <v>217.79</v>
      </c>
      <c r="J272" s="162">
        <v>210.21</v>
      </c>
    </row>
    <row r="273" spans="1:12" hidden="1" x14ac:dyDescent="0.15">
      <c r="A273" s="77"/>
      <c r="B273" s="79"/>
      <c r="C273" s="102"/>
    </row>
    <row r="274" spans="1:12" hidden="1" x14ac:dyDescent="0.15">
      <c r="A274" s="77"/>
      <c r="B274" s="131" t="s">
        <v>110</v>
      </c>
      <c r="C274" s="102"/>
      <c r="D274" s="101"/>
      <c r="E274" s="101"/>
      <c r="F274" s="101"/>
      <c r="G274" s="101"/>
      <c r="H274" s="101"/>
      <c r="I274" s="101"/>
      <c r="J274" s="101"/>
    </row>
    <row r="275" spans="1:12" hidden="1" x14ac:dyDescent="0.15">
      <c r="A275" s="77"/>
      <c r="B275" s="131" t="s">
        <v>102</v>
      </c>
      <c r="C275" s="118">
        <f>C264*C270/1000</f>
        <v>16.180916817153765</v>
      </c>
      <c r="D275" s="116">
        <f>D264*D270/1000</f>
        <v>38.244544000000005</v>
      </c>
      <c r="E275" s="116">
        <f t="shared" ref="C275:J277" si="107">E264*E270/1000</f>
        <v>26.848179000000002</v>
      </c>
      <c r="F275" s="116">
        <f t="shared" si="107"/>
        <v>29.857647999999998</v>
      </c>
      <c r="G275" s="116">
        <f t="shared" si="107"/>
        <v>34.199594999999995</v>
      </c>
      <c r="H275" s="116">
        <f t="shared" si="107"/>
        <v>31.469424000000004</v>
      </c>
      <c r="I275" s="116">
        <f t="shared" si="107"/>
        <v>30.401569999999996</v>
      </c>
      <c r="J275" s="116">
        <f t="shared" si="107"/>
        <v>62.86562099999999</v>
      </c>
    </row>
    <row r="276" spans="1:12" hidden="1" x14ac:dyDescent="0.15">
      <c r="A276" s="77"/>
      <c r="B276" s="131" t="s">
        <v>103</v>
      </c>
      <c r="C276" s="118">
        <f t="shared" si="107"/>
        <v>11.044926353046595</v>
      </c>
      <c r="D276" s="116">
        <f t="shared" si="107"/>
        <v>23.622354000000001</v>
      </c>
      <c r="E276" s="116">
        <f t="shared" si="107"/>
        <v>17.464292999999998</v>
      </c>
      <c r="F276" s="116">
        <f t="shared" si="107"/>
        <v>18.283497999999998</v>
      </c>
      <c r="G276" s="116">
        <f t="shared" si="107"/>
        <v>21.874708000000002</v>
      </c>
      <c r="H276" s="116">
        <f t="shared" si="107"/>
        <v>16.788527999999999</v>
      </c>
      <c r="I276" s="116">
        <f t="shared" si="107"/>
        <v>18.339054000000001</v>
      </c>
      <c r="J276" s="116">
        <f t="shared" si="107"/>
        <v>33.954240000000006</v>
      </c>
    </row>
    <row r="277" spans="1:12" hidden="1" x14ac:dyDescent="0.15">
      <c r="A277" s="77"/>
      <c r="B277" s="131" t="s">
        <v>104</v>
      </c>
      <c r="C277" s="118">
        <f t="shared" si="107"/>
        <v>3.6266672065843628</v>
      </c>
      <c r="D277" s="116">
        <f t="shared" si="107"/>
        <v>14.151667999999999</v>
      </c>
      <c r="E277" s="116">
        <f t="shared" si="107"/>
        <v>12.543086000000001</v>
      </c>
      <c r="F277" s="116">
        <f t="shared" si="107"/>
        <v>10.933323</v>
      </c>
      <c r="G277" s="116">
        <f t="shared" si="107"/>
        <v>10.71035</v>
      </c>
      <c r="H277" s="116">
        <f t="shared" si="107"/>
        <v>12.0596</v>
      </c>
      <c r="I277" s="116">
        <f t="shared" si="107"/>
        <v>10.628151999999998</v>
      </c>
      <c r="J277" s="116">
        <f t="shared" si="107"/>
        <v>10.447437000000003</v>
      </c>
    </row>
    <row r="278" spans="1:12" hidden="1" x14ac:dyDescent="0.15">
      <c r="A278" s="77"/>
      <c r="B278" s="131" t="s">
        <v>111</v>
      </c>
      <c r="C278" s="117">
        <f>C275+C276+C277</f>
        <v>30.852510376784721</v>
      </c>
      <c r="D278" s="11">
        <f t="shared" ref="D278:J278" si="108">D275+D276+D277</f>
        <v>76.018566000000007</v>
      </c>
      <c r="E278" s="11">
        <f t="shared" si="108"/>
        <v>56.855558000000002</v>
      </c>
      <c r="F278" s="11">
        <f t="shared" si="108"/>
        <v>59.074468999999993</v>
      </c>
      <c r="G278" s="11">
        <f t="shared" si="108"/>
        <v>66.784653000000006</v>
      </c>
      <c r="H278" s="11">
        <f t="shared" si="108"/>
        <v>60.317552000000006</v>
      </c>
      <c r="I278" s="11">
        <f t="shared" si="108"/>
        <v>59.368775999999997</v>
      </c>
      <c r="J278" s="11">
        <f t="shared" si="108"/>
        <v>107.26729800000001</v>
      </c>
    </row>
    <row r="279" spans="1:12" hidden="1" x14ac:dyDescent="0.15">
      <c r="A279" s="77"/>
    </row>
    <row r="280" spans="1:12" hidden="1" x14ac:dyDescent="0.15">
      <c r="A280" s="77" t="s">
        <v>155</v>
      </c>
    </row>
    <row r="281" spans="1:12" hidden="1" x14ac:dyDescent="0.15">
      <c r="A281" s="99" t="s">
        <v>169</v>
      </c>
      <c r="B281" s="101" t="s">
        <v>168</v>
      </c>
      <c r="C281" s="102" t="s">
        <v>170</v>
      </c>
      <c r="D281" s="101" t="s">
        <v>174</v>
      </c>
    </row>
    <row r="282" spans="1:12" hidden="1" x14ac:dyDescent="0.15">
      <c r="A282" s="99" t="s">
        <v>1</v>
      </c>
      <c r="B282" s="101">
        <v>227</v>
      </c>
      <c r="C282" s="102">
        <v>298</v>
      </c>
      <c r="D282" s="101">
        <v>267</v>
      </c>
      <c r="E282" s="79" t="s">
        <v>0</v>
      </c>
    </row>
    <row r="283" spans="1:12" hidden="1" x14ac:dyDescent="0.15">
      <c r="A283" s="99" t="s">
        <v>346</v>
      </c>
      <c r="B283" s="79" t="s">
        <v>336</v>
      </c>
      <c r="C283" s="102"/>
      <c r="D283" s="101"/>
    </row>
    <row r="284" spans="1:12" hidden="1" x14ac:dyDescent="0.15">
      <c r="C284" s="102"/>
      <c r="D284" s="101"/>
    </row>
    <row r="285" spans="1:12" s="15" customFormat="1" hidden="1" x14ac:dyDescent="0.15">
      <c r="A285" s="100" t="s">
        <v>197</v>
      </c>
      <c r="B285" s="102">
        <v>1990</v>
      </c>
      <c r="C285" s="102">
        <v>1995</v>
      </c>
      <c r="D285" s="102">
        <v>1996</v>
      </c>
      <c r="E285" s="102">
        <v>1997</v>
      </c>
      <c r="F285" s="102">
        <v>1998</v>
      </c>
      <c r="G285" s="102">
        <v>1999</v>
      </c>
      <c r="H285" s="102">
        <v>2000</v>
      </c>
      <c r="I285" s="102">
        <v>2001</v>
      </c>
      <c r="J285" s="102">
        <v>2002</v>
      </c>
      <c r="K285" s="102">
        <v>2003</v>
      </c>
      <c r="L285" s="16">
        <v>2004</v>
      </c>
    </row>
    <row r="286" spans="1:12" s="15" customFormat="1" hidden="1" x14ac:dyDescent="0.15">
      <c r="A286" s="100" t="s">
        <v>199</v>
      </c>
      <c r="B286" s="118">
        <f>0.94-(1995-1990)*(1.21-0.94)/20</f>
        <v>0.87249999999999994</v>
      </c>
      <c r="C286" s="102">
        <v>0.94</v>
      </c>
      <c r="D286" s="118">
        <f>0.94+(D285-1995)*((1.21-0.94)/20)</f>
        <v>0.9534999999999999</v>
      </c>
      <c r="E286" s="118">
        <f>0.94+(E285-1995)*((1.21-0.94)/20)</f>
        <v>0.96699999999999997</v>
      </c>
      <c r="F286" s="118">
        <f t="shared" ref="F286:K286" si="109">0.94+(F285-1995)*((1.21-0.94)/20)</f>
        <v>0.98049999999999993</v>
      </c>
      <c r="G286" s="118">
        <f t="shared" si="109"/>
        <v>0.99399999999999999</v>
      </c>
      <c r="H286" s="118">
        <f>0.94+(H285-1995)*((1.21-0.94)/20)</f>
        <v>1.0074999999999998</v>
      </c>
      <c r="I286" s="118">
        <f>0.94+(I285-1995)*((1.21-0.94)/20)</f>
        <v>1.0209999999999999</v>
      </c>
      <c r="J286" s="118">
        <f t="shared" si="109"/>
        <v>1.0345</v>
      </c>
      <c r="K286" s="118">
        <f t="shared" si="109"/>
        <v>1.048</v>
      </c>
      <c r="L286" s="18">
        <f>0.94+(((L285-1995)/(2*20)))</f>
        <v>1.165</v>
      </c>
    </row>
    <row r="287" spans="1:12" s="15" customFormat="1" hidden="1" x14ac:dyDescent="0.15">
      <c r="A287" s="100" t="s">
        <v>198</v>
      </c>
      <c r="B287" s="118">
        <f>0.94-(1995-1980)*(1.21-0.94)/20</f>
        <v>0.73749999999999993</v>
      </c>
      <c r="C287" s="118">
        <f>0.74+(C285-1990)*((0.94-0.74)/20)</f>
        <v>0.79</v>
      </c>
      <c r="D287" s="118">
        <f t="shared" ref="D287:J287" si="110">0.74+(D285-1990)*((0.94-0.74)/20)</f>
        <v>0.79999999999999993</v>
      </c>
      <c r="E287" s="118">
        <f t="shared" si="110"/>
        <v>0.80999999999999994</v>
      </c>
      <c r="F287" s="118">
        <f t="shared" si="110"/>
        <v>0.82</v>
      </c>
      <c r="G287" s="118">
        <f t="shared" si="110"/>
        <v>0.83</v>
      </c>
      <c r="H287" s="118">
        <f t="shared" si="110"/>
        <v>0.84</v>
      </c>
      <c r="I287" s="118">
        <f t="shared" si="110"/>
        <v>0.85</v>
      </c>
      <c r="J287" s="118">
        <f t="shared" si="110"/>
        <v>0.86</v>
      </c>
      <c r="K287" s="118">
        <f>0.74+(K285-1990)*((0.94-0.74)/20)</f>
        <v>0.87</v>
      </c>
      <c r="L287" s="38">
        <f>0.74+(L285-1990)*((0.94-0.74)/20)</f>
        <v>0.88</v>
      </c>
    </row>
    <row r="288" spans="1:12" hidden="1" x14ac:dyDescent="0.15">
      <c r="B288" s="79"/>
      <c r="C288" s="102"/>
      <c r="D288" s="101"/>
      <c r="E288" s="101">
        <v>227</v>
      </c>
      <c r="F288" s="101"/>
      <c r="G288" s="101"/>
      <c r="H288" s="101"/>
      <c r="I288" s="101"/>
      <c r="J288" s="101"/>
    </row>
    <row r="289" spans="1:12" hidden="1" x14ac:dyDescent="0.15">
      <c r="B289" s="79"/>
      <c r="C289" s="102"/>
      <c r="D289" s="101"/>
      <c r="E289" s="101"/>
      <c r="F289" s="101"/>
      <c r="G289" s="101"/>
      <c r="H289" s="101"/>
      <c r="I289" s="101"/>
      <c r="J289" s="101"/>
    </row>
    <row r="290" spans="1:12" s="15" customFormat="1" hidden="1" x14ac:dyDescent="0.15">
      <c r="A290" s="100" t="s">
        <v>197</v>
      </c>
      <c r="B290" s="102"/>
      <c r="C290" s="102">
        <v>2005</v>
      </c>
      <c r="D290" s="102">
        <v>2006</v>
      </c>
      <c r="E290" s="102">
        <v>2007</v>
      </c>
      <c r="F290" s="102">
        <v>2008</v>
      </c>
      <c r="G290" s="102">
        <v>2009</v>
      </c>
      <c r="H290" s="102">
        <v>2010</v>
      </c>
      <c r="I290" s="102">
        <v>2011</v>
      </c>
      <c r="J290" s="102">
        <v>2012</v>
      </c>
      <c r="K290" s="82">
        <v>2013</v>
      </c>
      <c r="L290" s="15">
        <v>2014</v>
      </c>
    </row>
    <row r="291" spans="1:12" s="15" customFormat="1" hidden="1" x14ac:dyDescent="0.15">
      <c r="A291" s="100" t="s">
        <v>199</v>
      </c>
      <c r="B291" s="102"/>
      <c r="C291" s="118">
        <f>0.94+(C290-1995)*((1.21-0.94)/20)</f>
        <v>1.075</v>
      </c>
      <c r="D291" s="118">
        <f t="shared" ref="D291:G291" si="111">0.94+(D290-1995)*((1.21-0.94)/20)</f>
        <v>1.0885</v>
      </c>
      <c r="E291" s="118">
        <f t="shared" si="111"/>
        <v>1.1019999999999999</v>
      </c>
      <c r="F291" s="118">
        <f>0.94+(F290-1995)*((1.21-0.94)/20)</f>
        <v>1.1154999999999999</v>
      </c>
      <c r="G291" s="118">
        <f t="shared" si="111"/>
        <v>1.129</v>
      </c>
      <c r="H291" s="118">
        <f>0.94+(H290-1995)*((1.21-0.94)/20)</f>
        <v>1.1425000000000001</v>
      </c>
      <c r="I291" s="118">
        <f>0.94+(I290-1995)*((1.21-0.94)/20)</f>
        <v>1.1559999999999999</v>
      </c>
      <c r="J291" s="118">
        <f>0.94+(J290-1995)*((1.21-0.94)/20)</f>
        <v>1.1695</v>
      </c>
      <c r="K291" s="102">
        <f>0.94+(((K290-1995)/(2*20)))</f>
        <v>1.39</v>
      </c>
      <c r="L291" s="16">
        <f>0.94+(((L290-1995)/(2*20)))</f>
        <v>1.415</v>
      </c>
    </row>
    <row r="292" spans="1:12" s="15" customFormat="1" hidden="1" x14ac:dyDescent="0.15">
      <c r="A292" s="100" t="s">
        <v>198</v>
      </c>
      <c r="B292" s="118"/>
      <c r="C292" s="118">
        <f>C286</f>
        <v>0.94</v>
      </c>
      <c r="D292" s="118">
        <f t="shared" ref="D292:L292" si="112">D286</f>
        <v>0.9534999999999999</v>
      </c>
      <c r="E292" s="118">
        <f t="shared" si="112"/>
        <v>0.96699999999999997</v>
      </c>
      <c r="F292" s="118">
        <f t="shared" si="112"/>
        <v>0.98049999999999993</v>
      </c>
      <c r="G292" s="118">
        <f t="shared" si="112"/>
        <v>0.99399999999999999</v>
      </c>
      <c r="H292" s="118">
        <f t="shared" si="112"/>
        <v>1.0074999999999998</v>
      </c>
      <c r="I292" s="118">
        <f t="shared" si="112"/>
        <v>1.0209999999999999</v>
      </c>
      <c r="J292" s="118">
        <f t="shared" si="112"/>
        <v>1.0345</v>
      </c>
      <c r="K292" s="118">
        <f t="shared" si="112"/>
        <v>1.048</v>
      </c>
      <c r="L292" s="18">
        <f t="shared" si="112"/>
        <v>1.165</v>
      </c>
    </row>
    <row r="293" spans="1:12" s="15" customFormat="1" hidden="1" x14ac:dyDescent="0.15">
      <c r="A293" s="100"/>
      <c r="B293" s="82"/>
      <c r="C293" s="102"/>
      <c r="D293" s="102"/>
      <c r="E293" s="102"/>
      <c r="F293" s="102"/>
      <c r="G293" s="102"/>
      <c r="H293" s="102"/>
      <c r="I293" s="102"/>
      <c r="J293" s="102"/>
      <c r="K293" s="82"/>
    </row>
    <row r="294" spans="1:12" s="15" customFormat="1" hidden="1" x14ac:dyDescent="0.15">
      <c r="A294" s="100" t="s">
        <v>197</v>
      </c>
      <c r="B294" s="82"/>
      <c r="C294" s="102">
        <v>2015</v>
      </c>
      <c r="D294" s="102">
        <v>2016</v>
      </c>
      <c r="E294" s="102">
        <v>2017</v>
      </c>
      <c r="F294" s="102">
        <v>2018</v>
      </c>
      <c r="G294" s="102">
        <v>2019</v>
      </c>
      <c r="H294" s="102">
        <v>2020</v>
      </c>
      <c r="I294" s="102">
        <v>2021</v>
      </c>
      <c r="J294" s="102">
        <v>2025</v>
      </c>
      <c r="K294" s="102">
        <v>1950</v>
      </c>
    </row>
    <row r="295" spans="1:12" s="15" customFormat="1" hidden="1" x14ac:dyDescent="0.15">
      <c r="A295" s="100" t="s">
        <v>199</v>
      </c>
      <c r="B295" s="82"/>
      <c r="C295" s="118">
        <f>0.94+(C294-1995)*((1.21-0.94)/20)</f>
        <v>1.21</v>
      </c>
      <c r="D295" s="118">
        <f t="shared" ref="D295:F295" si="113">0.94+(D294-1995)*((1.21-0.94)/20)</f>
        <v>1.2235</v>
      </c>
      <c r="E295" s="118">
        <f t="shared" si="113"/>
        <v>1.2370000000000001</v>
      </c>
      <c r="F295" s="118">
        <f t="shared" si="113"/>
        <v>1.2504999999999999</v>
      </c>
      <c r="G295" s="118">
        <f>0.94+(G294-1995)*((1.21-0.94)/20)</f>
        <v>1.264</v>
      </c>
      <c r="H295" s="118">
        <f>0.94+(H294-1995)*((1.21-0.94)/20)</f>
        <v>1.2774999999999999</v>
      </c>
      <c r="I295" s="118">
        <f>H295+(J295-H295)/5</f>
        <v>1.3219999999999998</v>
      </c>
      <c r="J295" s="118">
        <v>1.5</v>
      </c>
      <c r="K295" s="102">
        <v>0.2</v>
      </c>
    </row>
    <row r="296" spans="1:12" s="15" customFormat="1" hidden="1" x14ac:dyDescent="0.15">
      <c r="A296" s="100" t="s">
        <v>198</v>
      </c>
      <c r="B296" s="102"/>
      <c r="C296" s="118">
        <v>1.08</v>
      </c>
      <c r="D296" s="118">
        <v>1.0900000000000001</v>
      </c>
      <c r="E296" s="118">
        <v>1.1000000000000001</v>
      </c>
      <c r="F296" s="118">
        <v>1.1200000000000001</v>
      </c>
      <c r="G296" s="118">
        <v>1.1299999999999999</v>
      </c>
      <c r="H296" s="118">
        <v>1.1399999999999999</v>
      </c>
      <c r="I296" s="118">
        <v>1.1599999999999999</v>
      </c>
      <c r="J296" s="118">
        <v>1.17</v>
      </c>
      <c r="K296" s="118">
        <v>0.1</v>
      </c>
    </row>
    <row r="297" spans="1:12" hidden="1" x14ac:dyDescent="0.15"/>
    <row r="298" spans="1:12" hidden="1" x14ac:dyDescent="0.15">
      <c r="A298" s="79" t="s">
        <v>175</v>
      </c>
      <c r="B298" s="79"/>
    </row>
    <row r="299" spans="1:12" hidden="1" x14ac:dyDescent="0.15">
      <c r="A299" s="99" t="s">
        <v>281</v>
      </c>
      <c r="B299" s="101" t="s">
        <v>227</v>
      </c>
      <c r="C299" s="102" t="s">
        <v>321</v>
      </c>
      <c r="D299" s="101"/>
      <c r="E299" s="101"/>
    </row>
    <row r="300" spans="1:12" hidden="1" x14ac:dyDescent="0.15">
      <c r="A300" s="99">
        <v>1950</v>
      </c>
      <c r="B300" s="108">
        <f>B301*0.04/0.69</f>
        <v>9.729468599033817</v>
      </c>
      <c r="C300" s="102">
        <v>0.04</v>
      </c>
      <c r="D300" s="101"/>
      <c r="E300" s="101"/>
    </row>
    <row r="301" spans="1:12" hidden="1" x14ac:dyDescent="0.15">
      <c r="A301" s="99">
        <v>1990</v>
      </c>
      <c r="B301" s="108">
        <f>227-12.5*((298-227)/15)</f>
        <v>167.83333333333334</v>
      </c>
      <c r="C301" s="108"/>
    </row>
    <row r="302" spans="1:12" hidden="1" x14ac:dyDescent="0.15">
      <c r="A302" s="99">
        <v>2004</v>
      </c>
      <c r="B302" s="108">
        <f>227+(A302-1995)*(298-227)/15</f>
        <v>269.60000000000002</v>
      </c>
      <c r="C302" s="108"/>
    </row>
    <row r="303" spans="1:12" hidden="1" x14ac:dyDescent="0.15">
      <c r="A303" s="99">
        <v>2015</v>
      </c>
      <c r="B303" s="108">
        <f>298+(A303-2017)*(298-227)/15</f>
        <v>288.53333333333336</v>
      </c>
    </row>
    <row r="304" spans="1:12" hidden="1" x14ac:dyDescent="0.15">
      <c r="A304" s="99">
        <v>2016</v>
      </c>
      <c r="B304" s="108">
        <f>298+(A304-2017)*(298-227)/15</f>
        <v>293.26666666666665</v>
      </c>
    </row>
    <row r="305" spans="1:10" hidden="1" x14ac:dyDescent="0.15">
      <c r="A305" s="99">
        <v>2017</v>
      </c>
      <c r="B305" s="108">
        <f>298+(A305-2017)*(298-227)/15</f>
        <v>298</v>
      </c>
    </row>
    <row r="306" spans="1:10" hidden="1" x14ac:dyDescent="0.15">
      <c r="A306" s="99">
        <v>2018</v>
      </c>
      <c r="B306" s="108">
        <f>298+(A306-2017)*(298-227)/15</f>
        <v>302.73333333333335</v>
      </c>
    </row>
    <row r="307" spans="1:10" hidden="1" x14ac:dyDescent="0.15">
      <c r="A307" s="99">
        <v>2019</v>
      </c>
      <c r="B307" s="108">
        <f>298+(A307-2017)*(298-227)/15</f>
        <v>307.46666666666664</v>
      </c>
    </row>
    <row r="308" spans="1:10" hidden="1" x14ac:dyDescent="0.15">
      <c r="A308" s="99" t="s">
        <v>280</v>
      </c>
      <c r="B308" s="108"/>
    </row>
    <row r="309" spans="1:10" hidden="1" x14ac:dyDescent="0.15">
      <c r="A309" s="99">
        <v>2020</v>
      </c>
      <c r="B309" s="108">
        <f>298+(A309-2017)*(298-227)/15</f>
        <v>312.2</v>
      </c>
    </row>
    <row r="310" spans="1:10" hidden="1" x14ac:dyDescent="0.15">
      <c r="A310" s="99">
        <v>2021</v>
      </c>
      <c r="B310" s="108">
        <f>298+(A310-2017)*(298-227)/15</f>
        <v>316.93333333333334</v>
      </c>
    </row>
    <row r="311" spans="1:10" hidden="1" x14ac:dyDescent="0.15">
      <c r="A311" s="99">
        <v>2025</v>
      </c>
      <c r="B311" s="108">
        <f>298+(A311-2017)*(298-227)/15</f>
        <v>335.86666666666667</v>
      </c>
    </row>
    <row r="312" spans="1:10" hidden="1" x14ac:dyDescent="0.15"/>
    <row r="313" spans="1:10" hidden="1" x14ac:dyDescent="0.15"/>
    <row r="314" spans="1:10" hidden="1" x14ac:dyDescent="0.15">
      <c r="A314" s="77" t="s">
        <v>257</v>
      </c>
    </row>
    <row r="315" spans="1:10" hidden="1" x14ac:dyDescent="0.15">
      <c r="D315" s="79" t="s">
        <v>230</v>
      </c>
      <c r="E315" s="101">
        <v>2015</v>
      </c>
      <c r="F315" s="101">
        <v>2016</v>
      </c>
      <c r="G315" s="101">
        <v>2017</v>
      </c>
      <c r="H315" s="101">
        <v>2018</v>
      </c>
      <c r="I315" s="101">
        <v>2019</v>
      </c>
      <c r="J315" s="79" t="s">
        <v>226</v>
      </c>
    </row>
    <row r="316" spans="1:10" hidden="1" x14ac:dyDescent="0.15">
      <c r="A316" s="79" t="s">
        <v>105</v>
      </c>
      <c r="B316" s="101" t="s">
        <v>225</v>
      </c>
      <c r="C316" s="82" t="s">
        <v>223</v>
      </c>
      <c r="E316" s="101">
        <v>0.56000000000000005</v>
      </c>
      <c r="F316" s="101">
        <v>0.57999999999999996</v>
      </c>
      <c r="G316" s="101">
        <v>0.59</v>
      </c>
      <c r="H316" s="101">
        <v>0.61</v>
      </c>
      <c r="I316" s="101">
        <v>0.63</v>
      </c>
    </row>
    <row r="317" spans="1:10" hidden="1" x14ac:dyDescent="0.15">
      <c r="A317" s="79" t="s">
        <v>90</v>
      </c>
      <c r="C317" s="82" t="s">
        <v>224</v>
      </c>
      <c r="E317" s="101">
        <v>28.66</v>
      </c>
      <c r="F317" s="101">
        <v>29.23</v>
      </c>
      <c r="G317" s="101">
        <v>30.28</v>
      </c>
      <c r="H317" s="101">
        <v>32.01</v>
      </c>
      <c r="I317" s="101">
        <v>32.43</v>
      </c>
    </row>
    <row r="318" spans="1:10" hidden="1" x14ac:dyDescent="0.15">
      <c r="C318" s="82" t="s">
        <v>228</v>
      </c>
      <c r="E318" s="101">
        <v>103.55</v>
      </c>
      <c r="F318" s="101">
        <v>106.32</v>
      </c>
      <c r="G318" s="101">
        <v>109.29</v>
      </c>
      <c r="H318" s="101">
        <v>112.79</v>
      </c>
      <c r="I318" s="101">
        <v>114.02</v>
      </c>
    </row>
    <row r="319" spans="1:10" hidden="1" x14ac:dyDescent="0.15">
      <c r="C319" s="82" t="s">
        <v>229</v>
      </c>
      <c r="E319" s="101">
        <v>17.399999999999999</v>
      </c>
      <c r="F319" s="101">
        <v>17.829999999999998</v>
      </c>
      <c r="G319" s="101">
        <v>18.36</v>
      </c>
      <c r="H319" s="101">
        <v>19.12</v>
      </c>
      <c r="I319" s="101">
        <v>19.399999999999999</v>
      </c>
      <c r="J319" s="79" t="s">
        <v>231</v>
      </c>
    </row>
    <row r="320" spans="1:10" hidden="1" x14ac:dyDescent="0.15"/>
    <row r="321" spans="1:11" hidden="1" x14ac:dyDescent="0.15">
      <c r="A321" s="79" t="s">
        <v>259</v>
      </c>
      <c r="E321" s="101">
        <v>1990</v>
      </c>
      <c r="F321" s="101">
        <v>2020</v>
      </c>
      <c r="G321" s="101">
        <v>2021</v>
      </c>
      <c r="H321" s="101">
        <v>2025</v>
      </c>
    </row>
    <row r="322" spans="1:11" hidden="1" x14ac:dyDescent="0.15">
      <c r="E322" s="116">
        <f>E316*C5/75190</f>
        <v>0.26782284878308288</v>
      </c>
      <c r="F322" s="116">
        <f>F316*D5/75190</f>
        <v>0.57999999999999996</v>
      </c>
      <c r="G322" s="116">
        <f>G316*E5/75190</f>
        <v>0.60655672296847984</v>
      </c>
      <c r="H322" s="116">
        <f>H316*F5/75190</f>
        <v>0.64829232610719512</v>
      </c>
    </row>
    <row r="323" spans="1:11" hidden="1" x14ac:dyDescent="0.15">
      <c r="E323" s="116">
        <f>E317*C5/75190</f>
        <v>13.706790796648491</v>
      </c>
      <c r="F323" s="116">
        <f>F317*D5/75190</f>
        <v>29.230000000000004</v>
      </c>
      <c r="G323" s="116">
        <f>G317*E5/75190</f>
        <v>31.129724697433169</v>
      </c>
      <c r="H323" s="116">
        <f>H317*F5/75190</f>
        <v>34.019405506051335</v>
      </c>
    </row>
    <row r="324" spans="1:11" hidden="1" x14ac:dyDescent="0.15">
      <c r="E324" s="116">
        <f>E318*C5/75190</f>
        <v>49.523314270514696</v>
      </c>
      <c r="F324" s="116">
        <f>F318*D5/75190</f>
        <v>106.32</v>
      </c>
      <c r="G324" s="116">
        <f>G318*E5/75190</f>
        <v>112.3569224630935</v>
      </c>
      <c r="H324" s="116">
        <f>H318*F5/75190</f>
        <v>119.87031387152547</v>
      </c>
    </row>
    <row r="325" spans="1:11" hidden="1" x14ac:dyDescent="0.15">
      <c r="E325" s="116">
        <f>17.4*C5/75190</f>
        <v>8.3216385157600747</v>
      </c>
      <c r="F325" s="116">
        <f>17.4*I5/75190</f>
        <v>18.985184200026595</v>
      </c>
      <c r="G325" s="116">
        <f>17.4*J5/75190</f>
        <v>20.100598483840933</v>
      </c>
      <c r="H325" s="116">
        <f>17.4*K5/75190</f>
        <v>22.657720441548076</v>
      </c>
    </row>
    <row r="326" spans="1:11" hidden="1" x14ac:dyDescent="0.15">
      <c r="E326" s="116"/>
      <c r="F326" s="116"/>
      <c r="G326" s="116"/>
      <c r="H326" s="116"/>
    </row>
    <row r="327" spans="1:11" hidden="1" x14ac:dyDescent="0.15">
      <c r="E327" s="116"/>
      <c r="F327" s="116"/>
      <c r="G327" s="116"/>
      <c r="H327" s="116"/>
    </row>
    <row r="328" spans="1:11" hidden="1" x14ac:dyDescent="0.15">
      <c r="A328" s="79" t="s">
        <v>83</v>
      </c>
      <c r="B328" s="101" t="s">
        <v>225</v>
      </c>
      <c r="C328" s="82" t="s">
        <v>106</v>
      </c>
      <c r="E328" s="101">
        <v>2015</v>
      </c>
      <c r="F328" s="101">
        <v>2016</v>
      </c>
      <c r="G328" s="101">
        <v>2017</v>
      </c>
      <c r="H328" s="101">
        <v>2018</v>
      </c>
      <c r="I328" s="101">
        <v>2019</v>
      </c>
    </row>
    <row r="329" spans="1:11" hidden="1" x14ac:dyDescent="0.15">
      <c r="D329" s="79" t="s">
        <v>326</v>
      </c>
      <c r="E329" s="116">
        <f>E319*0.495</f>
        <v>8.6129999999999995</v>
      </c>
      <c r="F329" s="116">
        <f>F319*0.495</f>
        <v>8.8258499999999991</v>
      </c>
      <c r="G329" s="116">
        <f>G319*0.495</f>
        <v>9.0882000000000005</v>
      </c>
      <c r="H329" s="116">
        <f>H319*0.495</f>
        <v>9.4644000000000013</v>
      </c>
      <c r="I329" s="116">
        <f>I319*0.495</f>
        <v>9.6029999999999998</v>
      </c>
    </row>
    <row r="330" spans="1:11" s="15" customFormat="1" hidden="1" x14ac:dyDescent="0.15">
      <c r="A330" s="82"/>
      <c r="B330" s="102"/>
      <c r="C330" s="82"/>
      <c r="D330" s="82" t="s">
        <v>327</v>
      </c>
      <c r="E330" s="118">
        <f>E329/1.258</f>
        <v>6.8465818759936399</v>
      </c>
      <c r="F330" s="118">
        <f>F329/1.258</f>
        <v>7.0157790143084249</v>
      </c>
      <c r="G330" s="118">
        <f>G329/1.258</f>
        <v>7.2243243243243249</v>
      </c>
      <c r="H330" s="118">
        <f>H329/1.258</f>
        <v>7.5233704292527834</v>
      </c>
      <c r="I330" s="118">
        <f>I329/1.258</f>
        <v>7.6335453100158981</v>
      </c>
      <c r="J330" s="82"/>
      <c r="K330" s="82"/>
    </row>
    <row r="331" spans="1:11" hidden="1" x14ac:dyDescent="0.15">
      <c r="E331" s="116"/>
      <c r="F331" s="116"/>
      <c r="G331" s="116"/>
      <c r="H331" s="116"/>
      <c r="I331" s="116"/>
    </row>
    <row r="332" spans="1:11" hidden="1" x14ac:dyDescent="0.15">
      <c r="E332" s="101">
        <v>1990</v>
      </c>
      <c r="F332" s="101">
        <v>2020</v>
      </c>
      <c r="G332" s="101">
        <v>2021</v>
      </c>
      <c r="H332" s="101">
        <v>2025</v>
      </c>
    </row>
    <row r="333" spans="1:11" s="15" customFormat="1" hidden="1" x14ac:dyDescent="0.15">
      <c r="A333" s="82"/>
      <c r="B333" s="102"/>
      <c r="C333" s="82"/>
      <c r="D333" s="82" t="s">
        <v>326</v>
      </c>
      <c r="E333" s="118">
        <f>E325*0.495</f>
        <v>4.1192110653012373</v>
      </c>
      <c r="F333" s="118">
        <f>F325*0.495</f>
        <v>9.3976661790131644</v>
      </c>
      <c r="G333" s="118">
        <f>G325*0.495</f>
        <v>9.9497962495012615</v>
      </c>
      <c r="H333" s="118">
        <f>H325*0.495</f>
        <v>11.215571618566297</v>
      </c>
      <c r="I333" s="82"/>
      <c r="J333" s="82"/>
      <c r="K333" s="82"/>
    </row>
    <row r="334" spans="1:11" s="15" customFormat="1" hidden="1" x14ac:dyDescent="0.15">
      <c r="A334" s="82"/>
      <c r="B334" s="102"/>
      <c r="C334" s="82"/>
      <c r="D334" s="82" t="s">
        <v>327</v>
      </c>
      <c r="E334" s="118">
        <f>E333/1.258</f>
        <v>3.2744126115272154</v>
      </c>
      <c r="F334" s="118">
        <f>F333/1.258</f>
        <v>7.4703228767990177</v>
      </c>
      <c r="G334" s="118">
        <f>G333/1.258</f>
        <v>7.909218004373022</v>
      </c>
      <c r="H334" s="118">
        <f>H333/1.258</f>
        <v>8.9153987428984873</v>
      </c>
      <c r="I334" s="118"/>
      <c r="J334" s="82"/>
      <c r="K334" s="82"/>
    </row>
    <row r="335" spans="1:11" hidden="1" x14ac:dyDescent="0.15">
      <c r="E335" s="116"/>
      <c r="F335" s="116"/>
      <c r="G335" s="116"/>
      <c r="H335" s="116"/>
      <c r="I335" s="116"/>
    </row>
    <row r="336" spans="1:11" hidden="1" x14ac:dyDescent="0.15">
      <c r="E336" s="116"/>
      <c r="F336" s="116"/>
      <c r="G336" s="116"/>
      <c r="H336" s="116"/>
      <c r="I336" s="116"/>
    </row>
    <row r="337" spans="1:13" hidden="1" x14ac:dyDescent="0.15">
      <c r="A337" s="79" t="s">
        <v>17</v>
      </c>
      <c r="E337" s="101" t="s">
        <v>107</v>
      </c>
      <c r="F337" s="101">
        <v>2000</v>
      </c>
      <c r="G337" s="101" t="s">
        <v>108</v>
      </c>
      <c r="H337" s="101" t="s">
        <v>109</v>
      </c>
      <c r="I337" s="101" t="s">
        <v>260</v>
      </c>
    </row>
    <row r="338" spans="1:13" hidden="1" x14ac:dyDescent="0.15">
      <c r="E338" s="109">
        <f>-11*14397+10*7200</f>
        <v>-86367</v>
      </c>
      <c r="F338" s="109">
        <f>C61+10*(D61-C61)/25</f>
        <v>125084.21263879069</v>
      </c>
      <c r="G338" s="109">
        <f>F338+15*(D61-F338)/2</f>
        <v>879563.38019890909</v>
      </c>
      <c r="H338" s="109">
        <f>E338+G338</f>
        <v>793196.38019890909</v>
      </c>
      <c r="I338" s="109">
        <f>K61+4*J61+(K61-J61)*2</f>
        <v>1665405.4977052365</v>
      </c>
    </row>
    <row r="339" spans="1:13" hidden="1" x14ac:dyDescent="0.15"/>
    <row r="340" spans="1:13" hidden="1" x14ac:dyDescent="0.15"/>
    <row r="341" spans="1:13" hidden="1" x14ac:dyDescent="0.15">
      <c r="A341" s="79" t="s">
        <v>157</v>
      </c>
      <c r="B341" s="79" t="s">
        <v>158</v>
      </c>
      <c r="C341" s="82" t="s">
        <v>159</v>
      </c>
      <c r="D341" s="79" t="s">
        <v>160</v>
      </c>
      <c r="E341" s="79" t="s">
        <v>161</v>
      </c>
      <c r="F341" s="79" t="s">
        <v>237</v>
      </c>
      <c r="G341" s="79" t="s">
        <v>238</v>
      </c>
      <c r="H341" s="79" t="s">
        <v>80</v>
      </c>
      <c r="I341" s="79" t="s">
        <v>81</v>
      </c>
      <c r="J341" s="79" t="s">
        <v>82</v>
      </c>
      <c r="K341" s="79" t="s">
        <v>27</v>
      </c>
      <c r="L341" t="s">
        <v>28</v>
      </c>
      <c r="M341" t="s">
        <v>29</v>
      </c>
    </row>
    <row r="342" spans="1:13" hidden="1" x14ac:dyDescent="0.15">
      <c r="A342" s="77" t="s">
        <v>176</v>
      </c>
      <c r="B342" s="99" t="s">
        <v>156</v>
      </c>
      <c r="C342" s="181">
        <v>11000000000000</v>
      </c>
      <c r="D342" s="182">
        <v>11000000000000</v>
      </c>
      <c r="E342" s="182">
        <v>11917885657281.686</v>
      </c>
      <c r="F342" s="182">
        <v>12000000000000</v>
      </c>
      <c r="G342" s="79">
        <v>13358013610079.584</v>
      </c>
      <c r="H342" s="79">
        <v>14099267223911.906</v>
      </c>
      <c r="I342" s="79">
        <v>14904706650013.92</v>
      </c>
      <c r="J342" s="79">
        <v>15523636743005.422</v>
      </c>
      <c r="K342" s="79">
        <v>16446095593850.041</v>
      </c>
      <c r="L342">
        <v>17402419697235.139</v>
      </c>
      <c r="M342">
        <v>18093044833148.586</v>
      </c>
    </row>
    <row r="343" spans="1:13" hidden="1" x14ac:dyDescent="0.15">
      <c r="B343" s="79"/>
      <c r="D343" s="180"/>
    </row>
    <row r="344" spans="1:13" hidden="1" x14ac:dyDescent="0.15">
      <c r="B344" s="79"/>
      <c r="C344" s="82" t="s">
        <v>30</v>
      </c>
      <c r="D344" s="79" t="s">
        <v>31</v>
      </c>
      <c r="E344" s="79" t="s">
        <v>32</v>
      </c>
      <c r="F344" s="79" t="s">
        <v>33</v>
      </c>
      <c r="G344" s="79" t="s">
        <v>253</v>
      </c>
      <c r="H344" s="79" t="s">
        <v>254</v>
      </c>
      <c r="I344" s="79" t="s">
        <v>255</v>
      </c>
      <c r="J344" s="79" t="s">
        <v>241</v>
      </c>
      <c r="K344" s="79" t="s">
        <v>242</v>
      </c>
      <c r="L344" t="s">
        <v>243</v>
      </c>
    </row>
    <row r="345" spans="1:13" hidden="1" x14ac:dyDescent="0.15">
      <c r="B345" s="79"/>
      <c r="C345" s="82">
        <v>18866751596328.996</v>
      </c>
      <c r="D345" s="79">
        <v>19926322025887.516</v>
      </c>
      <c r="E345" s="79">
        <v>21203087861463.633</v>
      </c>
      <c r="F345" s="79">
        <v>21583766769272.574</v>
      </c>
      <c r="G345" s="79">
        <v>21720580194363.602</v>
      </c>
      <c r="H345" s="79">
        <v>22872464873117.102</v>
      </c>
      <c r="I345" s="79">
        <v>23810116684605.762</v>
      </c>
      <c r="J345" s="79">
        <v>24795154145632.348</v>
      </c>
      <c r="K345" s="79">
        <v>25830552072835.191</v>
      </c>
      <c r="L345">
        <v>26315435011122.891</v>
      </c>
    </row>
    <row r="346" spans="1:13" hidden="1" x14ac:dyDescent="0.15">
      <c r="B346" s="79"/>
    </row>
    <row r="347" spans="1:13" hidden="1" x14ac:dyDescent="0.15">
      <c r="B347" s="79"/>
      <c r="C347" s="82" t="s">
        <v>244</v>
      </c>
      <c r="D347" s="79" t="s">
        <v>245</v>
      </c>
      <c r="E347" s="79" t="s">
        <v>246</v>
      </c>
      <c r="F347" s="79" t="s">
        <v>247</v>
      </c>
      <c r="G347" s="79" t="s">
        <v>248</v>
      </c>
      <c r="H347" s="79" t="s">
        <v>249</v>
      </c>
      <c r="I347" s="79" t="s">
        <v>250</v>
      </c>
      <c r="J347" s="79" t="s">
        <v>251</v>
      </c>
      <c r="K347" s="79" t="s">
        <v>252</v>
      </c>
      <c r="L347" t="s">
        <v>123</v>
      </c>
    </row>
    <row r="348" spans="1:13" hidden="1" x14ac:dyDescent="0.15">
      <c r="B348" s="79"/>
      <c r="C348" s="82">
        <v>26823887020372.52</v>
      </c>
      <c r="D348" s="79">
        <v>26929495354884.688</v>
      </c>
      <c r="E348" s="79">
        <v>27642888203207.816</v>
      </c>
      <c r="F348" s="79">
        <v>28935052865661.594</v>
      </c>
      <c r="G348" s="79">
        <v>30005246664938.398</v>
      </c>
      <c r="H348" s="79">
        <v>31038287215028.879</v>
      </c>
      <c r="I348" s="79">
        <v>32196690950958.141</v>
      </c>
      <c r="J348" s="79">
        <v>33690063638077.645</v>
      </c>
      <c r="K348" s="79">
        <v>34954866035574.16</v>
      </c>
      <c r="L348">
        <v>35956650729980.922</v>
      </c>
    </row>
    <row r="349" spans="1:13" hidden="1" x14ac:dyDescent="0.15">
      <c r="B349" s="79"/>
    </row>
    <row r="350" spans="1:13" hidden="1" x14ac:dyDescent="0.15">
      <c r="B350" s="79"/>
      <c r="C350" s="82" t="s">
        <v>124</v>
      </c>
      <c r="D350" s="79" t="s">
        <v>125</v>
      </c>
      <c r="E350" s="79" t="s">
        <v>126</v>
      </c>
      <c r="F350" s="79" t="s">
        <v>127</v>
      </c>
      <c r="G350" s="79" t="s">
        <v>128</v>
      </c>
      <c r="H350" s="79" t="s">
        <v>129</v>
      </c>
      <c r="I350" s="79" t="s">
        <v>130</v>
      </c>
      <c r="J350" s="79" t="s">
        <v>131</v>
      </c>
      <c r="K350" s="79" t="s">
        <v>132</v>
      </c>
      <c r="L350" t="s">
        <v>133</v>
      </c>
    </row>
    <row r="351" spans="1:13" hidden="1" x14ac:dyDescent="0.15">
      <c r="B351" s="79"/>
      <c r="C351" s="82">
        <v>36481547689207.445</v>
      </c>
      <c r="D351" s="79">
        <v>37236630426229.969</v>
      </c>
      <c r="E351" s="79">
        <v>37909928686981.102</v>
      </c>
      <c r="F351" s="79">
        <v>39162999047803.297</v>
      </c>
      <c r="G351" s="79">
        <v>40373943744120.641</v>
      </c>
      <c r="H351" s="79">
        <v>41824663031510.391</v>
      </c>
      <c r="I351" s="79">
        <v>43446512586732.086</v>
      </c>
      <c r="J351" s="79">
        <v>44671345967005.32</v>
      </c>
      <c r="K351" s="79">
        <v>46258447357121</v>
      </c>
      <c r="L351">
        <v>48346996211394.203</v>
      </c>
    </row>
    <row r="352" spans="1:13" hidden="1" x14ac:dyDescent="0.15">
      <c r="B352" s="79"/>
    </row>
    <row r="353" spans="1:13" hidden="1" x14ac:dyDescent="0.15">
      <c r="B353" s="79"/>
      <c r="C353" s="82" t="s">
        <v>134</v>
      </c>
      <c r="D353" s="79" t="s">
        <v>135</v>
      </c>
      <c r="E353" s="79" t="s">
        <v>136</v>
      </c>
      <c r="F353" s="79" t="s">
        <v>137</v>
      </c>
      <c r="G353" s="79" t="s">
        <v>138</v>
      </c>
      <c r="H353" s="79" t="s">
        <v>139</v>
      </c>
      <c r="I353" s="79" t="s">
        <v>140</v>
      </c>
      <c r="J353" s="79" t="s">
        <v>141</v>
      </c>
      <c r="K353" s="79" t="s">
        <v>142</v>
      </c>
      <c r="L353" t="s">
        <v>143</v>
      </c>
    </row>
    <row r="354" spans="1:13" hidden="1" x14ac:dyDescent="0.15">
      <c r="B354" s="79"/>
      <c r="C354" s="82">
        <v>49318385609145.523</v>
      </c>
      <c r="D354" s="79">
        <v>50455089407956.242</v>
      </c>
      <c r="E354" s="79">
        <v>52024054256755.039</v>
      </c>
      <c r="F354" s="79">
        <v>54350174931372.406</v>
      </c>
      <c r="G354" s="79">
        <v>56526680484422.367</v>
      </c>
      <c r="H354" s="79">
        <v>59025400226394.281</v>
      </c>
      <c r="I354" s="79">
        <v>61611834694089.039</v>
      </c>
      <c r="J354" s="79">
        <v>62886691849429.297</v>
      </c>
      <c r="K354" s="79">
        <v>62043099488000.891</v>
      </c>
      <c r="L354">
        <v>64860376304301.617</v>
      </c>
    </row>
    <row r="355" spans="1:13" hidden="1" x14ac:dyDescent="0.15">
      <c r="B355" s="79"/>
    </row>
    <row r="356" spans="1:13" hidden="1" x14ac:dyDescent="0.15">
      <c r="B356" s="79"/>
      <c r="C356" s="82" t="s">
        <v>144</v>
      </c>
      <c r="D356" s="79" t="s">
        <v>145</v>
      </c>
      <c r="E356" s="79" t="s">
        <v>146</v>
      </c>
      <c r="F356" s="79" t="s">
        <v>147</v>
      </c>
      <c r="G356" s="79" t="s">
        <v>148</v>
      </c>
      <c r="H356" s="79" t="s">
        <v>149</v>
      </c>
      <c r="I356" s="79" t="s">
        <v>150</v>
      </c>
      <c r="J356" s="79" t="s">
        <v>151</v>
      </c>
      <c r="K356" s="79" t="s">
        <v>152</v>
      </c>
      <c r="L356" t="s">
        <v>153</v>
      </c>
      <c r="M356" t="s">
        <v>154</v>
      </c>
    </row>
    <row r="357" spans="1:13" hidden="1" x14ac:dyDescent="0.15">
      <c r="B357" s="79"/>
      <c r="C357" s="82">
        <v>67007464702463.5</v>
      </c>
      <c r="D357" s="79">
        <v>68822296672323.984</v>
      </c>
      <c r="E357" s="79">
        <v>70754752525925.859</v>
      </c>
      <c r="F357" s="79">
        <v>72941532558813.219</v>
      </c>
      <c r="G357" s="79">
        <v>75186364779691.688</v>
      </c>
      <c r="H357" s="79">
        <v>77295536289686.047</v>
      </c>
      <c r="I357" s="79">
        <v>79912950064136.297</v>
      </c>
      <c r="J357" s="79">
        <v>82539580063577.734</v>
      </c>
      <c r="K357" s="79">
        <v>84678527134453.484</v>
      </c>
      <c r="L357">
        <v>82041009500794.297</v>
      </c>
      <c r="M357">
        <v>86860283231171.312</v>
      </c>
    </row>
    <row r="358" spans="1:13" hidden="1" x14ac:dyDescent="0.15">
      <c r="B358" s="79"/>
    </row>
    <row r="359" spans="1:13" hidden="1" x14ac:dyDescent="0.15">
      <c r="B359" s="79"/>
      <c r="C359" s="163">
        <v>2008</v>
      </c>
      <c r="D359" s="107">
        <v>2010</v>
      </c>
      <c r="E359" s="107">
        <v>2012</v>
      </c>
      <c r="F359" s="107">
        <v>2014</v>
      </c>
    </row>
    <row r="360" spans="1:13" hidden="1" x14ac:dyDescent="0.15">
      <c r="A360" s="79" t="s">
        <v>258</v>
      </c>
      <c r="B360" s="79"/>
      <c r="C360" s="82">
        <v>64140</v>
      </c>
      <c r="D360" s="79">
        <v>66620</v>
      </c>
      <c r="E360" s="79">
        <v>75530</v>
      </c>
      <c r="F360" s="79">
        <v>79760</v>
      </c>
    </row>
    <row r="361" spans="1:13" hidden="1" x14ac:dyDescent="0.15">
      <c r="A361" s="79" t="s">
        <v>97</v>
      </c>
      <c r="B361" s="79"/>
      <c r="C361" s="82">
        <v>62886</v>
      </c>
      <c r="D361" s="79">
        <v>64860</v>
      </c>
      <c r="E361" s="79">
        <v>68820</v>
      </c>
      <c r="F361" s="79">
        <v>72941</v>
      </c>
    </row>
    <row r="362" spans="1:13" hidden="1" x14ac:dyDescent="0.15">
      <c r="B362" s="79"/>
    </row>
    <row r="363" spans="1:13" hidden="1" x14ac:dyDescent="0.15">
      <c r="A363" s="77" t="s">
        <v>41</v>
      </c>
      <c r="B363" s="79"/>
    </row>
    <row r="364" spans="1:13" hidden="1" x14ac:dyDescent="0.15">
      <c r="A364" s="79" t="s">
        <v>274</v>
      </c>
      <c r="B364" s="156">
        <f>8408*G357/C357</f>
        <v>9434.2765820896129</v>
      </c>
      <c r="C364" s="108" t="s">
        <v>44</v>
      </c>
      <c r="D364" s="109"/>
      <c r="E364" s="109"/>
      <c r="F364" s="109"/>
      <c r="G364" s="109"/>
      <c r="H364" s="109"/>
      <c r="I364" s="109"/>
      <c r="J364" s="101"/>
    </row>
    <row r="365" spans="1:13" hidden="1" x14ac:dyDescent="0.15">
      <c r="A365" s="79" t="s">
        <v>193</v>
      </c>
      <c r="B365" s="156">
        <f>6000/0.7</f>
        <v>8571.4285714285725</v>
      </c>
      <c r="C365" s="108" t="s">
        <v>44</v>
      </c>
      <c r="D365" s="109"/>
      <c r="E365" s="109"/>
      <c r="F365" s="109"/>
      <c r="G365" s="109"/>
      <c r="H365" s="109"/>
      <c r="I365" s="109"/>
      <c r="J365" s="101"/>
    </row>
    <row r="366" spans="1:13" hidden="1" x14ac:dyDescent="0.15">
      <c r="A366" s="79" t="s">
        <v>117</v>
      </c>
      <c r="B366" s="156">
        <v>2499</v>
      </c>
      <c r="C366" s="108" t="s">
        <v>44</v>
      </c>
      <c r="D366" s="109"/>
      <c r="E366" s="109"/>
      <c r="F366" s="109"/>
      <c r="G366" s="109"/>
      <c r="H366" s="109"/>
      <c r="I366" s="109"/>
      <c r="J366" s="101"/>
    </row>
    <row r="367" spans="1:13" hidden="1" x14ac:dyDescent="0.15">
      <c r="A367" s="79" t="s">
        <v>42</v>
      </c>
      <c r="B367" s="156">
        <v>38.4</v>
      </c>
      <c r="C367" s="164" t="s">
        <v>43</v>
      </c>
      <c r="D367" s="109"/>
      <c r="E367" s="109"/>
      <c r="F367" s="109"/>
      <c r="G367" s="109"/>
      <c r="H367" s="109"/>
      <c r="I367" s="109"/>
      <c r="J367" s="101"/>
    </row>
    <row r="368" spans="1:13" hidden="1" x14ac:dyDescent="0.15">
      <c r="B368" s="156"/>
      <c r="C368" s="108"/>
      <c r="D368" s="109"/>
      <c r="E368" s="109"/>
      <c r="F368" s="109"/>
      <c r="G368" s="109"/>
      <c r="H368" s="109"/>
      <c r="I368" s="109"/>
      <c r="J368" s="101"/>
    </row>
    <row r="369" spans="1:253" hidden="1" x14ac:dyDescent="0.15">
      <c r="B369" s="156"/>
      <c r="C369" s="108"/>
      <c r="D369" s="109"/>
      <c r="E369" s="109"/>
      <c r="F369" s="109"/>
      <c r="G369" s="109"/>
      <c r="H369" s="109"/>
      <c r="I369" s="109"/>
      <c r="J369" s="101"/>
    </row>
    <row r="370" spans="1:253" hidden="1" x14ac:dyDescent="0.15"/>
    <row r="371" spans="1:253" hidden="1" x14ac:dyDescent="0.15">
      <c r="A371" s="77" t="s">
        <v>163</v>
      </c>
    </row>
    <row r="372" spans="1:253" hidden="1" x14ac:dyDescent="0.15">
      <c r="A372" s="77"/>
    </row>
    <row r="373" spans="1:253" hidden="1" x14ac:dyDescent="0.15">
      <c r="A373" s="77" t="s">
        <v>38</v>
      </c>
      <c r="C373" s="102" t="s">
        <v>24</v>
      </c>
      <c r="D373" s="101" t="s">
        <v>53</v>
      </c>
      <c r="E373" s="101" t="s">
        <v>54</v>
      </c>
      <c r="F373" s="101" t="s">
        <v>62</v>
      </c>
      <c r="G373" s="101" t="s">
        <v>55</v>
      </c>
    </row>
    <row r="374" spans="1:253" hidden="1" x14ac:dyDescent="0.15">
      <c r="A374" s="79" t="s">
        <v>52</v>
      </c>
      <c r="B374" s="165" t="s">
        <v>86</v>
      </c>
      <c r="C374" s="166">
        <v>66988403</v>
      </c>
      <c r="D374" s="109">
        <v>26715053</v>
      </c>
      <c r="E374" s="109">
        <v>93703456</v>
      </c>
      <c r="F374" s="101">
        <v>22040</v>
      </c>
      <c r="G374" s="116">
        <v>687</v>
      </c>
      <c r="H374" s="165" t="s">
        <v>86</v>
      </c>
      <c r="I374" s="167"/>
      <c r="J374" s="168"/>
      <c r="K374" s="168">
        <v>164634</v>
      </c>
    </row>
    <row r="375" spans="1:253" hidden="1" x14ac:dyDescent="0.15">
      <c r="B375" s="165" t="s">
        <v>25</v>
      </c>
      <c r="C375" s="166">
        <v>12262544</v>
      </c>
      <c r="D375" s="109">
        <v>5785669</v>
      </c>
      <c r="E375" s="109">
        <v>18048213</v>
      </c>
      <c r="F375" s="101">
        <v>24060</v>
      </c>
      <c r="G375" s="169">
        <v>151.69999999999999</v>
      </c>
      <c r="H375" s="165" t="s">
        <v>25</v>
      </c>
    </row>
    <row r="376" spans="1:253" s="15" customFormat="1" hidden="1" x14ac:dyDescent="0.15">
      <c r="A376" s="82"/>
      <c r="B376" s="170" t="s">
        <v>164</v>
      </c>
      <c r="C376" s="166">
        <v>1249674</v>
      </c>
      <c r="D376" s="108">
        <v>422744</v>
      </c>
      <c r="E376" s="108">
        <v>1672418</v>
      </c>
      <c r="F376" s="102">
        <v>22220</v>
      </c>
      <c r="G376" s="118">
        <v>13</v>
      </c>
      <c r="H376" s="170" t="s">
        <v>164</v>
      </c>
      <c r="I376" s="82"/>
      <c r="J376" s="82"/>
      <c r="K376" s="82"/>
    </row>
    <row r="377" spans="1:253" s="15" customFormat="1" hidden="1" x14ac:dyDescent="0.15">
      <c r="A377" s="82"/>
      <c r="B377" s="170" t="s">
        <v>165</v>
      </c>
      <c r="C377" s="166">
        <v>212398</v>
      </c>
      <c r="D377" s="108">
        <v>92258</v>
      </c>
      <c r="E377" s="108">
        <v>304656</v>
      </c>
      <c r="F377" s="102">
        <v>22100</v>
      </c>
      <c r="G377" s="118">
        <v>2.35</v>
      </c>
      <c r="H377" s="170" t="s">
        <v>165</v>
      </c>
      <c r="I377" s="82"/>
      <c r="J377" s="82"/>
      <c r="K377" s="82"/>
    </row>
    <row r="378" spans="1:253" s="15" customFormat="1" hidden="1" x14ac:dyDescent="0.15">
      <c r="A378" s="82"/>
      <c r="B378" s="170" t="s">
        <v>166</v>
      </c>
      <c r="C378" s="166">
        <v>16741</v>
      </c>
      <c r="D378" s="108">
        <v>3039</v>
      </c>
      <c r="E378" s="108">
        <v>19780</v>
      </c>
      <c r="F378" s="102">
        <v>23830</v>
      </c>
      <c r="G378" s="118" t="s">
        <v>56</v>
      </c>
      <c r="H378" s="170" t="s">
        <v>166</v>
      </c>
      <c r="I378" s="82"/>
      <c r="J378" s="82"/>
      <c r="K378" s="82"/>
    </row>
    <row r="379" spans="1:253" s="15" customFormat="1" hidden="1" x14ac:dyDescent="0.15">
      <c r="A379" s="82"/>
      <c r="B379" s="170"/>
      <c r="C379" s="166"/>
      <c r="D379" s="108"/>
      <c r="E379" s="108"/>
      <c r="F379" s="102"/>
      <c r="G379" s="118"/>
      <c r="H379" s="170"/>
      <c r="I379" s="82"/>
      <c r="J379" s="82"/>
      <c r="K379" s="82"/>
    </row>
    <row r="380" spans="1:253" s="15" customFormat="1" hidden="1" x14ac:dyDescent="0.15">
      <c r="A380" s="79" t="s">
        <v>39</v>
      </c>
      <c r="B380" s="101">
        <v>1950</v>
      </c>
      <c r="C380" s="101">
        <v>1990</v>
      </c>
      <c r="D380" s="102">
        <v>2015</v>
      </c>
      <c r="E380" s="101">
        <v>2016</v>
      </c>
      <c r="F380" s="101">
        <v>2017</v>
      </c>
      <c r="G380" s="101">
        <v>2018</v>
      </c>
      <c r="H380" s="101">
        <v>2019</v>
      </c>
      <c r="I380" s="101">
        <v>2020</v>
      </c>
      <c r="J380" s="101">
        <v>2021</v>
      </c>
      <c r="K380" s="101">
        <v>2025</v>
      </c>
      <c r="L380" s="34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  <c r="EH380"/>
      <c r="EI380"/>
      <c r="EJ380"/>
      <c r="EK380"/>
      <c r="EL380"/>
      <c r="EM380"/>
      <c r="EN380"/>
      <c r="EO380"/>
      <c r="EP380"/>
      <c r="EQ380"/>
      <c r="ER380"/>
      <c r="ES380"/>
      <c r="ET380"/>
      <c r="EU380"/>
      <c r="EV380"/>
      <c r="EW380"/>
      <c r="EX380"/>
      <c r="EY380"/>
      <c r="EZ380"/>
      <c r="FA380"/>
      <c r="FB380"/>
      <c r="FC380"/>
      <c r="FD380"/>
      <c r="FE380"/>
      <c r="FF380"/>
      <c r="FG380"/>
      <c r="FH380"/>
      <c r="FI380"/>
      <c r="FJ380"/>
      <c r="FK380"/>
      <c r="FL380"/>
      <c r="FM380"/>
      <c r="FN380"/>
      <c r="FO380"/>
      <c r="FP380"/>
      <c r="FQ380"/>
      <c r="FR380"/>
      <c r="FS380"/>
      <c r="FT380"/>
      <c r="FU380"/>
      <c r="FV380"/>
      <c r="FW380"/>
      <c r="FX380"/>
      <c r="FY380"/>
      <c r="FZ380"/>
      <c r="GA380"/>
      <c r="GB380"/>
      <c r="GC380"/>
      <c r="GD380"/>
      <c r="GE380"/>
      <c r="GF380"/>
      <c r="GG380"/>
      <c r="GH380"/>
      <c r="GI380"/>
      <c r="GJ380"/>
      <c r="GK380"/>
      <c r="GL380"/>
      <c r="GM380"/>
      <c r="GN380"/>
      <c r="GO380"/>
      <c r="GP380"/>
      <c r="GQ380"/>
      <c r="GR380"/>
      <c r="GS380"/>
      <c r="GT380"/>
      <c r="GU380"/>
      <c r="GV380"/>
      <c r="GW380"/>
      <c r="GX380"/>
      <c r="GY380"/>
      <c r="GZ380"/>
      <c r="HA380"/>
      <c r="HB380"/>
      <c r="HC380"/>
      <c r="HD380"/>
      <c r="HE380"/>
      <c r="HF380"/>
      <c r="HG380"/>
      <c r="HH380"/>
      <c r="HI380"/>
      <c r="HJ380"/>
      <c r="HK380"/>
      <c r="HL380"/>
      <c r="HM380"/>
      <c r="HN380"/>
      <c r="HO380"/>
      <c r="HP380"/>
      <c r="HQ380"/>
      <c r="HR380"/>
      <c r="HS380"/>
      <c r="HT380"/>
      <c r="HU380"/>
      <c r="HV380"/>
      <c r="HW380"/>
      <c r="HX380"/>
      <c r="HY380"/>
      <c r="HZ380"/>
      <c r="IA380"/>
      <c r="IB380"/>
      <c r="IC380"/>
      <c r="ID380"/>
      <c r="IE380"/>
      <c r="IF380"/>
      <c r="IG380"/>
      <c r="IH380"/>
      <c r="II380"/>
      <c r="IJ380"/>
      <c r="IK380"/>
      <c r="IL380"/>
      <c r="IM380"/>
      <c r="IN380"/>
      <c r="IO380"/>
      <c r="IP380"/>
      <c r="IQ380"/>
      <c r="IR380"/>
      <c r="IS380"/>
    </row>
    <row r="381" spans="1:253" hidden="1" x14ac:dyDescent="0.15">
      <c r="A381" s="79" t="s">
        <v>217</v>
      </c>
      <c r="B381" s="101">
        <v>840</v>
      </c>
      <c r="C381" s="101">
        <v>16582</v>
      </c>
      <c r="D381" s="108">
        <v>15971</v>
      </c>
      <c r="E381" s="108">
        <v>16044</v>
      </c>
      <c r="F381" s="109">
        <v>16276</v>
      </c>
      <c r="G381" s="108">
        <v>16509</v>
      </c>
      <c r="H381" s="109">
        <v>16741</v>
      </c>
      <c r="I381" s="109">
        <v>16973</v>
      </c>
      <c r="J381" s="109">
        <v>17206</v>
      </c>
      <c r="K381" s="101">
        <v>18135</v>
      </c>
    </row>
    <row r="382" spans="1:253" hidden="1" x14ac:dyDescent="0.15">
      <c r="A382" s="79" t="s">
        <v>216</v>
      </c>
      <c r="B382" s="101">
        <v>226</v>
      </c>
      <c r="C382" s="109">
        <v>1967</v>
      </c>
      <c r="D382" s="166">
        <v>3148</v>
      </c>
      <c r="E382" s="109">
        <v>3205</v>
      </c>
      <c r="F382" s="109">
        <v>3150</v>
      </c>
      <c r="G382" s="109">
        <v>3094</v>
      </c>
      <c r="H382" s="109">
        <v>3039</v>
      </c>
      <c r="I382" s="109">
        <v>2984</v>
      </c>
      <c r="J382" s="109">
        <v>2928</v>
      </c>
      <c r="K382" s="101">
        <v>2707</v>
      </c>
    </row>
    <row r="383" spans="1:253" hidden="1" x14ac:dyDescent="0.15">
      <c r="A383" s="79" t="s">
        <v>215</v>
      </c>
      <c r="B383" s="101">
        <f>B381+B382</f>
        <v>1066</v>
      </c>
      <c r="C383" s="109">
        <f>C381+C382</f>
        <v>18549</v>
      </c>
      <c r="D383" s="108">
        <f t="shared" ref="D383:F383" si="114">D381+D382</f>
        <v>19119</v>
      </c>
      <c r="E383" s="109">
        <f t="shared" si="114"/>
        <v>19249</v>
      </c>
      <c r="F383" s="109">
        <f t="shared" si="114"/>
        <v>19426</v>
      </c>
      <c r="G383" s="109">
        <f t="shared" ref="G383" si="115">G381+G382</f>
        <v>19603</v>
      </c>
      <c r="H383" s="109">
        <f t="shared" ref="H383:I383" si="116">H381+H382</f>
        <v>19780</v>
      </c>
      <c r="I383" s="109">
        <f t="shared" si="116"/>
        <v>19957</v>
      </c>
      <c r="J383" s="109">
        <f>J381+J382</f>
        <v>20134</v>
      </c>
      <c r="K383" s="109">
        <f t="shared" ref="K383" si="117">K381+K382</f>
        <v>20842</v>
      </c>
      <c r="L383" s="2"/>
    </row>
    <row r="384" spans="1:253" hidden="1" x14ac:dyDescent="0.15">
      <c r="A384" s="79" t="s">
        <v>189</v>
      </c>
      <c r="C384" s="101">
        <v>20347</v>
      </c>
      <c r="D384" s="102">
        <v>21279</v>
      </c>
      <c r="E384" s="101">
        <v>22989</v>
      </c>
      <c r="F384" s="109">
        <v>23070</v>
      </c>
      <c r="G384" s="101">
        <v>23800</v>
      </c>
      <c r="H384" s="109">
        <v>23830</v>
      </c>
      <c r="I384" s="109">
        <v>24320</v>
      </c>
      <c r="J384" s="109">
        <v>23800</v>
      </c>
      <c r="K384" s="101">
        <v>23830</v>
      </c>
    </row>
    <row r="385" spans="2:12" hidden="1" x14ac:dyDescent="0.15">
      <c r="C385" s="101"/>
      <c r="D385" s="82"/>
    </row>
    <row r="386" spans="2:12" x14ac:dyDescent="0.15">
      <c r="B386" s="79"/>
      <c r="C386" s="79"/>
      <c r="L386" t="s">
        <v>23</v>
      </c>
    </row>
    <row r="387" spans="2:12" x14ac:dyDescent="0.15">
      <c r="B387" s="79"/>
      <c r="C387" s="79"/>
    </row>
    <row r="388" spans="2:12" x14ac:dyDescent="0.15">
      <c r="B388" s="79"/>
      <c r="C388" s="79"/>
    </row>
    <row r="389" spans="2:12" x14ac:dyDescent="0.15">
      <c r="B389" s="79"/>
      <c r="C389" s="79"/>
    </row>
    <row r="390" spans="2:12" x14ac:dyDescent="0.15">
      <c r="B390" s="79"/>
      <c r="C390" s="79"/>
    </row>
    <row r="391" spans="2:12" x14ac:dyDescent="0.15">
      <c r="B391" s="79"/>
      <c r="C391" s="79"/>
    </row>
    <row r="392" spans="2:12" x14ac:dyDescent="0.15">
      <c r="B392" s="79"/>
      <c r="C392" s="79"/>
    </row>
    <row r="393" spans="2:12" x14ac:dyDescent="0.15">
      <c r="B393" s="79"/>
      <c r="C393" s="79"/>
    </row>
    <row r="394" spans="2:12" x14ac:dyDescent="0.15">
      <c r="B394" s="79"/>
      <c r="C394" s="79"/>
    </row>
    <row r="395" spans="2:12" x14ac:dyDescent="0.15">
      <c r="B395" s="79"/>
      <c r="C395" s="79"/>
    </row>
    <row r="419" spans="2:2" x14ac:dyDescent="0.15">
      <c r="B419" s="79"/>
    </row>
  </sheetData>
  <phoneticPr fontId="7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  <colBreaks count="2" manualBreakCount="2">
    <brk id="1" max="1048575" man="1"/>
    <brk id="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jeanmichel.vincent@wanadoo.fr</cp:lastModifiedBy>
  <dcterms:created xsi:type="dcterms:W3CDTF">2023-04-11T14:13:27Z</dcterms:created>
  <dcterms:modified xsi:type="dcterms:W3CDTF">2024-12-10T13:18:17Z</dcterms:modified>
</cp:coreProperties>
</file>